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ЭкономистПЭО\Desktop\Отчеты ЕИАС\Квартальные ЕИАС\3 квартал 2023\"/>
    </mc:Choice>
  </mc:AlternateContent>
  <xr:revisionPtr revIDLastSave="0" documentId="8_{1A8D72A7-346D-4673-9C1C-31F0D6125880}" xr6:coauthVersionLast="47" xr6:coauthVersionMax="47" xr10:uidLastSave="{00000000-0000-0000-0000-000000000000}"/>
  <bookViews>
    <workbookView xWindow="-120" yWindow="-120" windowWidth="29040" windowHeight="15840" tabRatio="751" firstSheet="1" activeTab="3"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ФХД'!$Q$66</definedName>
    <definedName name="B_FHD_CHECK_INDEX_2">'Показатели ФХД'!$Q$68</definedName>
    <definedName name="B_FHD_COSTS_INDEX_1">'Показатели ФХД'!$H$65:$O$65</definedName>
    <definedName name="B_FHD_COSTS_INDEX_2">'Показатели ФХД'!$H$67:$O$67</definedName>
    <definedName name="B_FHD_DATA_TOP80_ACTIVITY">'Показатели ФХД'!$H$81:$O$81</definedName>
    <definedName name="B_FHD_diff_1">'Показатели ФХД'!$I$25:$I$27</definedName>
    <definedName name="B_FHD_diff_66">'Показатели ФХД'!$J$25:$J$27</definedName>
    <definedName name="B_FHD_diff_67">'Показатели ФХД'!$K$25:$K$27</definedName>
    <definedName name="B_FHD_diff_68">'Показатели ФХД'!$L$25:$L$27</definedName>
    <definedName name="B_FHD_diff_69">'Показатели ФХД'!$M$25:$M$27</definedName>
    <definedName name="B_FHD_diff_70">'Показатели ФХД'!$N$25:$N$27</definedName>
    <definedName name="B_FHD_FLAG_DIFFERENTIATION">'Показатели ФХД'!$H$24:$O$24</definedName>
    <definedName name="B_FHD_FLAG_INDEX_1">'Показатели ФХД'!$H$66:$O$66</definedName>
    <definedName name="B_FHD_FLAG_INDEX_2">'Показатели ФХД'!$H$68:$O$68</definedName>
    <definedName name="B_FHD_TKO_DATA_TOP80_ACTIVITY">'ТКО. Показатели ФХД'!$H$43:$O$43</definedName>
    <definedName name="B_FHD_TKO_diff_1">'ТКО. Показатели ФХД'!$I$10:$I$12</definedName>
    <definedName name="B_FHD_TKO_diff_66">'ТКО. Показатели ФХД'!$J$10:$J$12</definedName>
    <definedName name="B_FHD_TKO_diff_67">'ТКО. Показатели ФХД'!$K$10:$K$12</definedName>
    <definedName name="B_FHD_TKO_diff_68">'ТКО. Показатели ФХД'!$L$10:$L$12</definedName>
    <definedName name="B_FHD_TKO_diff_69">'ТКО. Показатели ФХД'!$M$10:$M$12</definedName>
    <definedName name="B_FHD_TKO_diff_70">'ТКО. Показатели ФХД'!$N$10:$N$12</definedName>
    <definedName name="B_FHD_TKO_FLAG_DIFFERENTIATION">'ТКО. Показатели ФХД'!$H$9:$O$9</definedName>
    <definedName name="B_FHD_TKO_TRANS_DATA_TOP80_ACTIVITY">'ТКО. Транс. Показатели ФХД'!$H$35:$O$35</definedName>
    <definedName name="B_FHD_TKO_TRANS_diff_1">'ТКО. Транс. Показатели ФХД'!$I$10:$I$12</definedName>
    <definedName name="B_FHD_TKO_TRANS_diff_66">'ТКО. Транс. Показатели ФХД'!$J$10:$J$12</definedName>
    <definedName name="B_FHD_TKO_TRANS_diff_67">'ТКО. Транс. Показатели ФХД'!$K$10:$K$12</definedName>
    <definedName name="B_FHD_TKO_TRANS_diff_68">'ТКО. Транс. Показатели ФХД'!$L$10:$L$12</definedName>
    <definedName name="B_FHD_TKO_TRANS_diff_69">'ТКО. Транс. Показатели ФХД'!$M$10:$M$12</definedName>
    <definedName name="B_FHD_TKO_TRANS_diff_70">'ТКО. Транс. Показатели ФХД'!$N$10:$N$12</definedName>
    <definedName name="B_FHD_TKO_TRANS_FLAG_DIFFERENTIATION">'ТКО. Транс. Показатели ФХД'!$H$9:$O$9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diff_68">'Показатели ФХД &gt;20%'!$H$41:$R$43</definedName>
    <definedName name="B_FHD20_diff_69">'Показатели ФХД &gt;20%'!$H$50:$R$52</definedName>
    <definedName name="B_FHD20_diff_70">'Показатели ФХД &gt;20%'!$H$59:$R$61</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_KNE_diff_68">'Показатели КНЭ'!$O$7:$P$9</definedName>
    <definedName name="B_KNE_diff_69">'Показатели КНЭ'!$Q$7:$R$9</definedName>
    <definedName name="B_KNE_diff_70">'Показатели КНЭ'!$S$7:$T$9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REESTR_DS!$B$2:$B$4</definedName>
    <definedName name="DIFFERENTIATION_AREA">Дифференциация!$I$12:$I$27</definedName>
    <definedName name="DIFFERENTIATION_AREA_ID">Дифференциация!$U$11:$U$28</definedName>
    <definedName name="DIFFERENTIATION_CheckC">Дифференциация!$D$12:$M$27</definedName>
    <definedName name="DIFFERENTIATION_fieldMarker">Дифференциация!$W$12:$W$27</definedName>
    <definedName name="DIFFERENTIATION_ID">TEHSHEET!$E$57</definedName>
    <definedName name="DIFFERENTIATION_ID_DIFF">Дифференциация!$O$12:$O$27</definedName>
    <definedName name="DIFFERENTIATION_SYSTEM">Дифференциация!$M$12:$M$27</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Дифференциация!$Q$12:$Q$27</definedName>
    <definedName name="DIFFERENTIATION_UNMERGE_SYSTEM">Дифференциация!$R$12:$R$27</definedName>
    <definedName name="DIFFERENTIATION_UNMERGE_VD">Дифференциация!$P$12:$P$27</definedName>
    <definedName name="DIFFERENTIATION_VD">Дифференциация!$E$12:$E$27</definedName>
    <definedName name="DIFFERENTIATION_VD_ID">Дифференциация!$V$11:$V$28</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Дифференциация!$G$12:$G$27</definedName>
    <definedName name="pDel_DIFFERENTIATION_SYSTEM">Дифференциация!$K$12:$K$27</definedName>
    <definedName name="pDel_DIFFERENTIATION_VD">Дифференциация!$C$12:$C$27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ФХД'!$O$24</definedName>
    <definedName name="pIns_B_FHD_TKO_2">'ТКО. Показатели ФХД'!$F$34</definedName>
    <definedName name="pIns_B_FHD_TKO_DIFFERENTIATION">'ТКО. Показатели ФХД'!$O$9</definedName>
    <definedName name="pIns_B_FHD_TKO_TRANS_2">'ТКО. Транс. Показатели ФХД'!$F$29</definedName>
    <definedName name="pIns_B_FHD_TKO_TRANS_DIFFERENTIATION">'ТКО. Транс. Показатели ФХД'!$O$9</definedName>
    <definedName name="pIns_B_FHD20_DIFFERENTIATION">'Показатели ФХД &gt;20%'!$D$68</definedName>
    <definedName name="pIns_B_KNE_DIFFERENTIATION">'Показатели КНЭ'!$U$6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diff_66">Ограничения!$K$26:$L$28</definedName>
    <definedName name="Q_Limit_diff_67">Ограничения!$M$26:$N$28</definedName>
    <definedName name="Q_Limit_diff_68">Ограничения!$O$26:$P$28</definedName>
    <definedName name="Q_Limit_diff_69">Ограничения!$Q$26:$R$28</definedName>
    <definedName name="Q_Limit_diff_70">Ограничения!$S$26:$T$28</definedName>
    <definedName name="Q_LIMIT_p3">Ограничения!$F$36:$U$36</definedName>
    <definedName name="Q_LIMIT_p4">Ограничения!$F$38:$U$38</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PH_diff_68">'Потребительские характеристики'!$O$9:$P$11</definedName>
    <definedName name="Q_PH_diff_69">'Потребительские характеристики'!$Q$9:$R$11</definedName>
    <definedName name="Q_PH_diff_70">'Потребительские характеристики'!$S$9:$T$11</definedName>
    <definedName name="Q_TP_COUNT_REFUSAL">ТП!$H$17:$H$17</definedName>
    <definedName name="Q_TP_diff_1">ТП!$H$9:$H$11</definedName>
    <definedName name="Q_TP_diff_66">ТП!$I$9:$I$11</definedName>
    <definedName name="Q_TP_diff_67">ТП!$J$9:$J$11</definedName>
    <definedName name="Q_TP_diff_68">ТП!$K$9:$K$11</definedName>
    <definedName name="Q_TP_diff_69">ТП!$L$9:$L$11</definedName>
    <definedName name="Q_TP_diff_70">ТП!$M$9:$M$11</definedName>
    <definedName name="QRE_METHOD_LIST">TEHSHEET!$AZ$8:$AZ$10</definedName>
    <definedName name="QUARTER">TEHSHEET!$F$2:$F$5</definedName>
    <definedName name="REESTR_IP_RANGE">REESTR_IP!$A$2:$D$18</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Дифференциация!$F$12:$F$27</definedName>
    <definedName name="Y_N_DIFFERENTIATION_SYSTEM">Дифференциация!$J$12:$J$27</definedName>
    <definedName name="YEAR_IP_LIST">TEHSHEET!$BE$2:$BE$72</definedName>
    <definedName name="year_list">TEHSHEET!$C$2:$C$6</definedName>
    <definedName name="year_list1">TEHSHEET!$B$2:$B$27</definedName>
  </definedNames>
  <calcPr calcId="191029"/>
  <fileRecoveryPr repairLoad="1"/>
</workbook>
</file>

<file path=xl/calcChain.xml><?xml version="1.0" encoding="utf-8"?>
<calcChain xmlns="http://schemas.openxmlformats.org/spreadsheetml/2006/main">
  <c r="S11" i="66" l="1" a="1"/>
  <c r="S11" i="66" s="1"/>
  <c r="P11" i="66"/>
  <c r="G11" i="66"/>
  <c r="S2" i="66" a="1"/>
  <c r="S2" i="66" s="1"/>
  <c r="P2" i="66"/>
  <c r="G2" i="66"/>
  <c r="R10" i="65"/>
  <c r="P10" i="65" a="1"/>
  <c r="P10" i="65" s="1"/>
  <c r="M10" i="65"/>
  <c r="K8" i="65"/>
  <c r="R2" i="65"/>
  <c r="P2" i="65" a="1"/>
  <c r="P2" i="65" s="1"/>
  <c r="M2" i="65"/>
  <c r="P9" i="64"/>
  <c r="N9" i="64" a="1"/>
  <c r="N9" i="64" s="1"/>
  <c r="K9" i="64"/>
  <c r="P2" i="64"/>
  <c r="N2" i="64" a="1"/>
  <c r="N2" i="64" s="1"/>
  <c r="K2" i="64"/>
  <c r="F12" i="63"/>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BB45" i="54"/>
  <c r="BC45" i="54" s="1"/>
  <c r="AW45" i="54"/>
  <c r="AX45" i="54" s="1"/>
  <c r="AY45" i="54" s="1"/>
  <c r="BA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L46" i="53"/>
  <c r="AK46" i="53"/>
  <c r="AN45" i="53"/>
  <c r="AN44" i="53"/>
  <c r="AN43" i="53"/>
  <c r="AN42" i="53"/>
  <c r="AN41" i="53"/>
  <c r="AK41" i="53"/>
  <c r="AG40" i="53"/>
  <c r="AI40" i="53" s="1"/>
  <c r="AJ40" i="53" s="1"/>
  <c r="AK40" i="53" s="1"/>
  <c r="X40" i="53"/>
  <c r="Y40" i="53" s="1"/>
  <c r="Z40" i="53" s="1"/>
  <c r="AB40" i="53" s="1"/>
  <c r="AC40" i="53" s="1"/>
  <c r="AD40" i="53" s="1"/>
  <c r="AE40" i="53" s="1"/>
  <c r="AF40" i="53" s="1"/>
  <c r="U40" i="53"/>
  <c r="V40" i="53" s="1"/>
  <c r="W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L7" i="53"/>
  <c r="AK7" i="53"/>
  <c r="AN6" i="53"/>
  <c r="AN5" i="53"/>
  <c r="AN4" i="53"/>
  <c r="AC4" i="53"/>
  <c r="S4" i="53"/>
  <c r="I5" i="53" s="1"/>
  <c r="AN3" i="53"/>
  <c r="AC3" i="53"/>
  <c r="S3" i="53"/>
  <c r="AN2" i="53"/>
  <c r="AK2" i="53"/>
  <c r="AC2" i="53"/>
  <c r="S2" i="53"/>
  <c r="AN53" i="52"/>
  <c r="AN52" i="52"/>
  <c r="AN51" i="52"/>
  <c r="AN50" i="52"/>
  <c r="AN49" i="52"/>
  <c r="AN48" i="52"/>
  <c r="AN47" i="52"/>
  <c r="AE47" i="52"/>
  <c r="X47" i="52"/>
  <c r="AN46" i="52"/>
  <c r="AL46" i="52"/>
  <c r="AK46" i="52"/>
  <c r="AN45" i="52"/>
  <c r="AN44" i="52"/>
  <c r="AN43" i="52"/>
  <c r="AN42" i="52"/>
  <c r="AN41" i="52"/>
  <c r="AK41" i="52"/>
  <c r="V40" i="52"/>
  <c r="W40" i="52" s="1"/>
  <c r="X40" i="52" s="1"/>
  <c r="Y40" i="52" s="1"/>
  <c r="Z40" i="52" s="1"/>
  <c r="AB40" i="52" s="1"/>
  <c r="AC40" i="52" s="1"/>
  <c r="AD40" i="52" s="1"/>
  <c r="AE40" i="52" s="1"/>
  <c r="AF40" i="52" s="1"/>
  <c r="AG40" i="52" s="1"/>
  <c r="AI40" i="52" s="1"/>
  <c r="AJ40" i="52" s="1"/>
  <c r="AK40" i="52" s="1"/>
  <c r="U40" i="52"/>
  <c r="AC33" i="52"/>
  <c r="V33" i="52"/>
  <c r="AC32" i="52"/>
  <c r="V32" i="52"/>
  <c r="AC30" i="52"/>
  <c r="V30" i="52"/>
  <c r="AC29" i="52"/>
  <c r="V29" i="52"/>
  <c r="AC28" i="52"/>
  <c r="V28" i="52"/>
  <c r="AC27" i="52"/>
  <c r="V27" i="52"/>
  <c r="S25" i="52"/>
  <c r="S24" i="52"/>
  <c r="AE16" i="52"/>
  <c r="AN13" i="52"/>
  <c r="AN12" i="52"/>
  <c r="AN11" i="52"/>
  <c r="AN10" i="52"/>
  <c r="AN9" i="52"/>
  <c r="AN8" i="52"/>
  <c r="AE8" i="52"/>
  <c r="X8" i="52"/>
  <c r="AN7" i="52"/>
  <c r="AL7" i="52"/>
  <c r="AK7" i="52"/>
  <c r="AN6" i="52"/>
  <c r="J6" i="52"/>
  <c r="AN5" i="52"/>
  <c r="AN4" i="52"/>
  <c r="AC4" i="52"/>
  <c r="S4" i="52"/>
  <c r="I5" i="52" s="1"/>
  <c r="S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X45" i="51"/>
  <c r="Y45" i="51" s="1"/>
  <c r="Z45" i="51" s="1"/>
  <c r="AA45" i="51" s="1"/>
  <c r="AC45" i="51" s="1"/>
  <c r="AD45" i="51" s="1"/>
  <c r="V45" i="51"/>
  <c r="W45" i="51" s="1"/>
  <c r="U45" i="5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L46" i="50"/>
  <c r="AK46" i="50"/>
  <c r="AN45" i="50"/>
  <c r="AN44" i="50"/>
  <c r="AN43" i="50"/>
  <c r="AN42" i="50"/>
  <c r="AN41" i="50"/>
  <c r="AK41" i="50"/>
  <c r="V40" i="50"/>
  <c r="W40" i="50" s="1"/>
  <c r="X40" i="50" s="1"/>
  <c r="Y40" i="50" s="1"/>
  <c r="Z40" i="50" s="1"/>
  <c r="AB40" i="50" s="1"/>
  <c r="AC40" i="50" s="1"/>
  <c r="AD40" i="50" s="1"/>
  <c r="AE40" i="50" s="1"/>
  <c r="AF40" i="50" s="1"/>
  <c r="AG40" i="50" s="1"/>
  <c r="AI40" i="50" s="1"/>
  <c r="AJ40" i="50" s="1"/>
  <c r="AK40" i="50" s="1"/>
  <c r="U40" i="50"/>
  <c r="AC33" i="50"/>
  <c r="V33" i="50"/>
  <c r="AC32" i="50"/>
  <c r="V32" i="50"/>
  <c r="AC30" i="50"/>
  <c r="V30" i="50"/>
  <c r="AC29" i="50"/>
  <c r="V29" i="50"/>
  <c r="AC28" i="50"/>
  <c r="V28" i="50"/>
  <c r="AC27" i="50"/>
  <c r="V27" i="50"/>
  <c r="S25" i="50"/>
  <c r="S24" i="50"/>
  <c r="AE16" i="50"/>
  <c r="AN13" i="50"/>
  <c r="AN12" i="50"/>
  <c r="AN11" i="50"/>
  <c r="AN10" i="50"/>
  <c r="AN9" i="50"/>
  <c r="AN8" i="50"/>
  <c r="AE8" i="50"/>
  <c r="X8" i="50"/>
  <c r="AN7" i="50"/>
  <c r="AL7" i="50"/>
  <c r="AK7" i="50"/>
  <c r="AN6" i="50"/>
  <c r="AN5" i="50"/>
  <c r="I5" i="50"/>
  <c r="S5" i="50" s="1"/>
  <c r="AN4" i="50"/>
  <c r="AC4" i="50"/>
  <c r="S4" i="50"/>
  <c r="AN3" i="50"/>
  <c r="AC3" i="50"/>
  <c r="S3" i="50"/>
  <c r="AN2" i="50"/>
  <c r="AK2" i="50"/>
  <c r="AC2" i="50"/>
  <c r="S2" i="50"/>
  <c r="AN53" i="49"/>
  <c r="AN52" i="49"/>
  <c r="AN51" i="49"/>
  <c r="AN50" i="49"/>
  <c r="AN49" i="49"/>
  <c r="AN48" i="49"/>
  <c r="AN47" i="49"/>
  <c r="AE47" i="49"/>
  <c r="X47" i="49"/>
  <c r="AN46" i="49"/>
  <c r="AL46" i="49"/>
  <c r="AK46" i="49"/>
  <c r="AN45" i="49"/>
  <c r="AN44" i="49"/>
  <c r="AN43" i="49"/>
  <c r="AN42" i="49"/>
  <c r="AN41" i="49"/>
  <c r="AK41" i="49"/>
  <c r="AJ40" i="49"/>
  <c r="AK40" i="49" s="1"/>
  <c r="AF40" i="49"/>
  <c r="AG40" i="49" s="1"/>
  <c r="AI40" i="49" s="1"/>
  <c r="Z40" i="49"/>
  <c r="AB40" i="49" s="1"/>
  <c r="AC40" i="49" s="1"/>
  <c r="AD40" i="49" s="1"/>
  <c r="AE40" i="49" s="1"/>
  <c r="W40" i="49"/>
  <c r="X40" i="49" s="1"/>
  <c r="Y40" i="49" s="1"/>
  <c r="U40" i="49"/>
  <c r="V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L7" i="49"/>
  <c r="AK7" i="49"/>
  <c r="S7" i="49"/>
  <c r="AN6" i="49"/>
  <c r="AN5" i="49"/>
  <c r="S5" i="49"/>
  <c r="AN4" i="49"/>
  <c r="AC4" i="49"/>
  <c r="S4" i="49"/>
  <c r="I5" i="49" s="1"/>
  <c r="J6" i="49" s="1"/>
  <c r="K7" i="49" s="1"/>
  <c r="AN3" i="49"/>
  <c r="AC3" i="49"/>
  <c r="S3" i="49"/>
  <c r="AN2" i="49"/>
  <c r="AK2" i="49"/>
  <c r="AC2" i="49"/>
  <c r="S2" i="49"/>
  <c r="F6" i="48"/>
  <c r="H57" i="47"/>
  <c r="H56" i="47"/>
  <c r="H55" i="47"/>
  <c r="I54" i="47"/>
  <c r="H54" i="47"/>
  <c r="H53" i="47"/>
  <c r="H52" i="47"/>
  <c r="H51" i="47"/>
  <c r="H50" i="47"/>
  <c r="I49" i="47"/>
  <c r="I48" i="47" s="1"/>
  <c r="H48" i="47" s="1"/>
  <c r="H49" i="47"/>
  <c r="H47" i="47"/>
  <c r="H46" i="47"/>
  <c r="H45" i="47"/>
  <c r="I44" i="47"/>
  <c r="H44" i="47" s="1"/>
  <c r="H43" i="47"/>
  <c r="H42" i="47"/>
  <c r="H41" i="47"/>
  <c r="H40" i="47"/>
  <c r="I39" i="47"/>
  <c r="H39" i="47"/>
  <c r="I38" i="47"/>
  <c r="H35" i="47"/>
  <c r="H34" i="47"/>
  <c r="H33" i="47"/>
  <c r="I32" i="47"/>
  <c r="H32" i="47"/>
  <c r="H31" i="47"/>
  <c r="H30" i="47"/>
  <c r="H29" i="47"/>
  <c r="I28" i="47"/>
  <c r="H28" i="47"/>
  <c r="H27" i="47"/>
  <c r="H26" i="47"/>
  <c r="H25" i="47"/>
  <c r="H24" i="47"/>
  <c r="H23" i="47"/>
  <c r="H22" i="47"/>
  <c r="H21" i="47"/>
  <c r="H20" i="47"/>
  <c r="H19" i="47"/>
  <c r="H18" i="47"/>
  <c r="H17" i="47"/>
  <c r="H16" i="47"/>
  <c r="I15" i="47"/>
  <c r="H15" i="47" s="1"/>
  <c r="H11" i="47"/>
  <c r="F6" i="47"/>
  <c r="F6" i="46"/>
  <c r="H15" i="45"/>
  <c r="F6" i="45"/>
  <c r="T12" i="44"/>
  <c r="S12" i="44"/>
  <c r="R12" i="44"/>
  <c r="Q12" i="44"/>
  <c r="P12" i="44"/>
  <c r="O12" i="44"/>
  <c r="N12" i="44"/>
  <c r="M12" i="44"/>
  <c r="L12" i="44"/>
  <c r="K12" i="44"/>
  <c r="J12" i="44"/>
  <c r="I12" i="44"/>
  <c r="H12" i="44"/>
  <c r="G12" i="44"/>
  <c r="G9" i="44"/>
  <c r="G8" i="44"/>
  <c r="G7" i="44"/>
  <c r="D4" i="44"/>
  <c r="E28" i="43"/>
  <c r="O27" i="43"/>
  <c r="N27" i="43"/>
  <c r="M27" i="43"/>
  <c r="L27" i="43"/>
  <c r="K27" i="43"/>
  <c r="J27" i="43"/>
  <c r="I27" i="43"/>
  <c r="H27" i="43"/>
  <c r="O16" i="43"/>
  <c r="N16" i="43"/>
  <c r="M16" i="43"/>
  <c r="L16" i="43"/>
  <c r="K16" i="43"/>
  <c r="J16" i="43"/>
  <c r="I16" i="43"/>
  <c r="H16" i="43"/>
  <c r="O12" i="43"/>
  <c r="H12" i="43"/>
  <c r="O11" i="43"/>
  <c r="H11" i="43"/>
  <c r="O10" i="43"/>
  <c r="H10" i="43"/>
  <c r="E7" i="43"/>
  <c r="E33" i="42"/>
  <c r="O32" i="42"/>
  <c r="N32" i="42"/>
  <c r="M32" i="42"/>
  <c r="L32" i="42"/>
  <c r="K32" i="42"/>
  <c r="J32" i="42"/>
  <c r="I32" i="42"/>
  <c r="H32" i="42"/>
  <c r="O16" i="42"/>
  <c r="N16" i="42"/>
  <c r="M16" i="42"/>
  <c r="L16" i="42"/>
  <c r="K16" i="42"/>
  <c r="J16" i="42"/>
  <c r="I16" i="42"/>
  <c r="H16" i="42"/>
  <c r="O12" i="42"/>
  <c r="H12" i="42"/>
  <c r="O11" i="42"/>
  <c r="H11" i="42"/>
  <c r="O10" i="42"/>
  <c r="H10" i="42"/>
  <c r="E7" i="42"/>
  <c r="Q65" i="41"/>
  <c r="Q62" i="41"/>
  <c r="Q56" i="41"/>
  <c r="Q53" i="41"/>
  <c r="Q47" i="41"/>
  <c r="Q44" i="41"/>
  <c r="Q38" i="41"/>
  <c r="Q35" i="41"/>
  <c r="Q29" i="41"/>
  <c r="Q26" i="41"/>
  <c r="V20" i="41"/>
  <c r="Q20" i="41"/>
  <c r="V17" i="41"/>
  <c r="Q17" i="41"/>
  <c r="E6" i="41"/>
  <c r="E116" i="40"/>
  <c r="E100" i="40"/>
  <c r="O87" i="40"/>
  <c r="N87" i="40"/>
  <c r="M87" i="40"/>
  <c r="L87" i="40"/>
  <c r="K87" i="40"/>
  <c r="J87" i="40"/>
  <c r="I87" i="40"/>
  <c r="H87" i="40"/>
  <c r="F81" i="40"/>
  <c r="O69" i="40"/>
  <c r="N69" i="40"/>
  <c r="M69" i="40"/>
  <c r="L69" i="40"/>
  <c r="K69" i="40"/>
  <c r="J69" i="40"/>
  <c r="I69" i="40"/>
  <c r="H69" i="40"/>
  <c r="Q68" i="40"/>
  <c r="Q66" i="40"/>
  <c r="E65" i="40"/>
  <c r="P65" i="40" s="1"/>
  <c r="P40" i="40"/>
  <c r="P39" i="40"/>
  <c r="P38" i="40"/>
  <c r="P37" i="40"/>
  <c r="P36" i="40"/>
  <c r="P35" i="40"/>
  <c r="P34" i="40"/>
  <c r="O33" i="40"/>
  <c r="N33" i="40"/>
  <c r="M33" i="40"/>
  <c r="L33" i="40"/>
  <c r="K33" i="40"/>
  <c r="J33" i="40"/>
  <c r="I33" i="40"/>
  <c r="H33" i="40"/>
  <c r="O27" i="40"/>
  <c r="H27" i="40"/>
  <c r="O26" i="40"/>
  <c r="H26" i="40"/>
  <c r="O25" i="40"/>
  <c r="H25" i="40"/>
  <c r="E22" i="40"/>
  <c r="E7" i="40"/>
  <c r="E6" i="40"/>
  <c r="E5" i="40"/>
  <c r="E4" i="40"/>
  <c r="O3" i="40"/>
  <c r="N3" i="40"/>
  <c r="M3" i="40"/>
  <c r="L3" i="40"/>
  <c r="K3" i="40"/>
  <c r="J3"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BA45" i="39"/>
  <c r="BB45" i="39" s="1"/>
  <c r="BC45" i="39" s="1"/>
  <c r="AY45" i="39"/>
  <c r="AX45" i="39"/>
  <c r="AW45" i="39"/>
  <c r="W45" i="39"/>
  <c r="X45" i="39" s="1"/>
  <c r="Y45" i="39" s="1"/>
  <c r="Z45" i="39" s="1"/>
  <c r="AA45" i="39" s="1"/>
  <c r="AC45" i="39" s="1"/>
  <c r="AD45" i="39" s="1"/>
  <c r="U45" i="39"/>
  <c r="V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L46" i="38"/>
  <c r="AK46" i="38"/>
  <c r="AN45" i="38"/>
  <c r="AN44" i="38"/>
  <c r="AN43" i="38"/>
  <c r="AN42" i="38"/>
  <c r="AN41" i="38"/>
  <c r="AK41" i="38"/>
  <c r="AD40" i="38"/>
  <c r="AE40" i="38" s="1"/>
  <c r="AF40" i="38" s="1"/>
  <c r="AG40" i="38" s="1"/>
  <c r="AI40" i="38" s="1"/>
  <c r="AJ40" i="38" s="1"/>
  <c r="AK40" i="38" s="1"/>
  <c r="AB40" i="38"/>
  <c r="AC40" i="38" s="1"/>
  <c r="U40" i="38"/>
  <c r="V40" i="38" s="1"/>
  <c r="W40" i="38" s="1"/>
  <c r="X40" i="38" s="1"/>
  <c r="Y40" i="38" s="1"/>
  <c r="Z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L7" i="38"/>
  <c r="AK7" i="38"/>
  <c r="S7" i="38"/>
  <c r="AN6" i="38"/>
  <c r="S6" i="38"/>
  <c r="AN5" i="38"/>
  <c r="I5" i="38"/>
  <c r="J6" i="38" s="1"/>
  <c r="K7" i="38" s="1"/>
  <c r="AN4" i="38"/>
  <c r="AC4" i="38"/>
  <c r="S4" i="38"/>
  <c r="AN3" i="38"/>
  <c r="AC3" i="38"/>
  <c r="S3" i="38"/>
  <c r="AN2" i="38"/>
  <c r="AK2" i="38"/>
  <c r="AC2" i="38"/>
  <c r="S2" i="38"/>
  <c r="AN53" i="37"/>
  <c r="AN52" i="37"/>
  <c r="AN51" i="37"/>
  <c r="AN50" i="37"/>
  <c r="AN49" i="37"/>
  <c r="AN48" i="37"/>
  <c r="AN47" i="37"/>
  <c r="AE47" i="37"/>
  <c r="X47" i="37"/>
  <c r="AN46" i="37"/>
  <c r="AL46" i="37"/>
  <c r="AK46" i="37"/>
  <c r="AN45" i="37"/>
  <c r="AN44" i="37"/>
  <c r="AN43" i="37"/>
  <c r="AN42" i="37"/>
  <c r="AN41" i="37"/>
  <c r="AK41" i="37"/>
  <c r="V40" i="37"/>
  <c r="W40" i="37" s="1"/>
  <c r="X40" i="37" s="1"/>
  <c r="Y40" i="37" s="1"/>
  <c r="Z40" i="37" s="1"/>
  <c r="AB40" i="37" s="1"/>
  <c r="AC40" i="37" s="1"/>
  <c r="AD40" i="37" s="1"/>
  <c r="AE40" i="37" s="1"/>
  <c r="AF40" i="37" s="1"/>
  <c r="AG40" i="37" s="1"/>
  <c r="AI40" i="37" s="1"/>
  <c r="AJ40" i="37" s="1"/>
  <c r="AK40" i="37" s="1"/>
  <c r="U40" i="37"/>
  <c r="AC33" i="37"/>
  <c r="V33" i="37"/>
  <c r="AC32" i="37"/>
  <c r="V32" i="37"/>
  <c r="AC30" i="37"/>
  <c r="V30" i="37"/>
  <c r="AC29" i="37"/>
  <c r="V29" i="37"/>
  <c r="AC28" i="37"/>
  <c r="V28" i="37"/>
  <c r="AC27" i="37"/>
  <c r="V27" i="37"/>
  <c r="S25" i="37"/>
  <c r="S24" i="37"/>
  <c r="AE16" i="37"/>
  <c r="AN13" i="37"/>
  <c r="AN12" i="37"/>
  <c r="AN11" i="37"/>
  <c r="AN10" i="37"/>
  <c r="AN9" i="37"/>
  <c r="AN8" i="37"/>
  <c r="AE8" i="37"/>
  <c r="X8" i="37"/>
  <c r="AN7" i="37"/>
  <c r="AL7" i="37"/>
  <c r="AK7" i="37"/>
  <c r="AN6" i="37"/>
  <c r="J6" i="37"/>
  <c r="S6" i="37" s="1"/>
  <c r="AN5" i="37"/>
  <c r="S5" i="37"/>
  <c r="I5" i="37"/>
  <c r="AN4" i="37"/>
  <c r="AC4" i="37"/>
  <c r="S4" i="37"/>
  <c r="AN3" i="37"/>
  <c r="AC3" i="37"/>
  <c r="S3" i="37"/>
  <c r="AN2" i="37"/>
  <c r="AK2" i="37"/>
  <c r="AC2" i="37"/>
  <c r="S2" i="37"/>
  <c r="AN53" i="36"/>
  <c r="AN52" i="36"/>
  <c r="AN51" i="36"/>
  <c r="AN50" i="36"/>
  <c r="AN49" i="36"/>
  <c r="AN48" i="36"/>
  <c r="AN47" i="36"/>
  <c r="AE47" i="36"/>
  <c r="X47" i="36"/>
  <c r="AN46" i="36"/>
  <c r="AL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L7" i="36"/>
  <c r="AK7" i="36"/>
  <c r="AN6" i="36"/>
  <c r="AN5" i="36"/>
  <c r="S5" i="36"/>
  <c r="AN4" i="36"/>
  <c r="AC4" i="36"/>
  <c r="S4" i="36"/>
  <c r="I5" i="36" s="1"/>
  <c r="J6" i="36" s="1"/>
  <c r="AN3" i="36"/>
  <c r="AC3" i="36"/>
  <c r="S3" i="36"/>
  <c r="AN2" i="36"/>
  <c r="AK2" i="36"/>
  <c r="AC2" i="36"/>
  <c r="S2" i="36"/>
  <c r="AN53" i="35"/>
  <c r="AN52" i="35"/>
  <c r="AN51" i="35"/>
  <c r="AN50" i="35"/>
  <c r="AN49" i="35"/>
  <c r="AN48" i="35"/>
  <c r="AN47" i="35"/>
  <c r="AE47" i="35"/>
  <c r="X47" i="35"/>
  <c r="AN46" i="35"/>
  <c r="AL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L7" i="35"/>
  <c r="AK7" i="35"/>
  <c r="S7" i="35"/>
  <c r="AN6" i="35"/>
  <c r="J6" i="35"/>
  <c r="K7" i="35" s="1"/>
  <c r="AN5" i="35"/>
  <c r="S5" i="35"/>
  <c r="I5" i="35"/>
  <c r="AN4" i="35"/>
  <c r="AC4" i="35"/>
  <c r="S4" i="35"/>
  <c r="AN3" i="35"/>
  <c r="AC3" i="35"/>
  <c r="S3" i="35"/>
  <c r="AN2" i="35"/>
  <c r="AK2" i="35"/>
  <c r="AC2" i="35"/>
  <c r="S2" i="35"/>
  <c r="E175" i="34"/>
  <c r="E136" i="34"/>
  <c r="E97" i="34"/>
  <c r="E17" i="34"/>
  <c r="F11" i="34"/>
  <c r="E11" i="34"/>
  <c r="F10" i="34"/>
  <c r="E10" i="34"/>
  <c r="G28" i="33"/>
  <c r="G27" i="33"/>
  <c r="G26" i="33"/>
  <c r="D23" i="33"/>
  <c r="D14" i="33"/>
  <c r="D13" i="33"/>
  <c r="D11" i="33"/>
  <c r="D10" i="33"/>
  <c r="D9" i="33"/>
  <c r="D7" i="33"/>
  <c r="D6" i="33"/>
  <c r="D4" i="33"/>
  <c r="D3" i="33"/>
  <c r="F21" i="32"/>
  <c r="M19" i="32"/>
  <c r="L19" i="32"/>
  <c r="K19" i="32"/>
  <c r="J19" i="32"/>
  <c r="I19" i="32"/>
  <c r="H19" i="32"/>
  <c r="G19" i="32"/>
  <c r="F19" i="32"/>
  <c r="M14" i="32"/>
  <c r="L14" i="32"/>
  <c r="K14" i="32"/>
  <c r="J14" i="32"/>
  <c r="I14" i="32"/>
  <c r="H14" i="32"/>
  <c r="G14" i="32"/>
  <c r="G11" i="32"/>
  <c r="G10" i="32"/>
  <c r="G9" i="32"/>
  <c r="D6" i="32"/>
  <c r="F2" i="32"/>
  <c r="S14" i="31"/>
  <c r="Q14" i="31"/>
  <c r="O14" i="31"/>
  <c r="M14" i="31"/>
  <c r="K14" i="31"/>
  <c r="I14" i="31"/>
  <c r="G14" i="31"/>
  <c r="G11" i="31"/>
  <c r="G10" i="31"/>
  <c r="G9" i="31"/>
  <c r="D6" i="31"/>
  <c r="E13" i="29"/>
  <c r="H12" i="29"/>
  <c r="E12" i="29"/>
  <c r="D6" i="29"/>
  <c r="D15" i="28"/>
  <c r="R24" i="27"/>
  <c r="Y23" i="27"/>
  <c r="L23" i="27"/>
  <c r="L22" i="27"/>
  <c r="L21" i="27"/>
  <c r="L20" i="27"/>
  <c r="L19" i="27"/>
  <c r="X18" i="27"/>
  <c r="O18" i="27"/>
  <c r="P18" i="27" s="1"/>
  <c r="Q18" i="27" s="1"/>
  <c r="R18" i="27" s="1"/>
  <c r="S18" i="27" s="1"/>
  <c r="T18" i="27" s="1"/>
  <c r="V18" i="27" s="1"/>
  <c r="O10" i="27"/>
  <c r="O9" i="27"/>
  <c r="O8" i="27"/>
  <c r="O7" i="27"/>
  <c r="AA32" i="26"/>
  <c r="AA31" i="26"/>
  <c r="AA30" i="26"/>
  <c r="AA29" i="26"/>
  <c r="AA28" i="26"/>
  <c r="AA27" i="26"/>
  <c r="AA26" i="26"/>
  <c r="R26" i="26"/>
  <c r="AA25" i="26"/>
  <c r="Y25" i="26"/>
  <c r="AA24" i="26"/>
  <c r="AA23" i="26"/>
  <c r="AA22" i="26"/>
  <c r="O22" i="26"/>
  <c r="L22" i="26"/>
  <c r="F23" i="26" s="1"/>
  <c r="AA21" i="26"/>
  <c r="O21" i="26"/>
  <c r="L21" i="26"/>
  <c r="AA20" i="26"/>
  <c r="O20" i="26"/>
  <c r="L20" i="26"/>
  <c r="AA19" i="26"/>
  <c r="O19" i="26"/>
  <c r="L19" i="26"/>
  <c r="W18" i="26"/>
  <c r="X18" i="26" s="1"/>
  <c r="R18" i="26"/>
  <c r="S18" i="26" s="1"/>
  <c r="T18" i="26" s="1"/>
  <c r="V18" i="26" s="1"/>
  <c r="Q18" i="26"/>
  <c r="N18" i="26"/>
  <c r="O18" i="26" s="1"/>
  <c r="O11" i="26"/>
  <c r="O10" i="26"/>
  <c r="O9" i="26"/>
  <c r="O8" i="26"/>
  <c r="L6" i="26"/>
  <c r="AA32" i="25"/>
  <c r="AA31" i="25"/>
  <c r="AA30" i="25"/>
  <c r="AA29" i="25"/>
  <c r="AA28" i="25"/>
  <c r="AA27" i="25"/>
  <c r="AA26" i="25"/>
  <c r="R26" i="25"/>
  <c r="AA25" i="25"/>
  <c r="Y25" i="25"/>
  <c r="H25" i="25"/>
  <c r="L25" i="25" s="1"/>
  <c r="AA24" i="25"/>
  <c r="AA23" i="25"/>
  <c r="AA22" i="25"/>
  <c r="O22" i="25"/>
  <c r="L22" i="25"/>
  <c r="F23" i="25" s="1"/>
  <c r="G24" i="25" s="1"/>
  <c r="L24" i="25" s="1"/>
  <c r="AA21" i="25"/>
  <c r="O21" i="25"/>
  <c r="L21" i="25"/>
  <c r="AA20" i="25"/>
  <c r="O20" i="25"/>
  <c r="L20" i="25"/>
  <c r="AA19" i="25"/>
  <c r="O19" i="25"/>
  <c r="L19" i="25"/>
  <c r="S18" i="25"/>
  <c r="T18" i="25" s="1"/>
  <c r="V18" i="25" s="1"/>
  <c r="W18" i="25" s="1"/>
  <c r="X18" i="25" s="1"/>
  <c r="R18" i="25"/>
  <c r="Q18" i="25"/>
  <c r="N18" i="25"/>
  <c r="O18" i="25" s="1"/>
  <c r="O11" i="25"/>
  <c r="O10" i="25"/>
  <c r="O9" i="25"/>
  <c r="O8" i="25"/>
  <c r="L6" i="25"/>
  <c r="AA32" i="24"/>
  <c r="AA31" i="24"/>
  <c r="AA30" i="24"/>
  <c r="AA29" i="24"/>
  <c r="AA28" i="24"/>
  <c r="AA27" i="24"/>
  <c r="AA26" i="24"/>
  <c r="R26" i="24"/>
  <c r="AA25" i="24"/>
  <c r="Y25" i="24"/>
  <c r="AA24" i="24"/>
  <c r="AA23" i="24"/>
  <c r="AA22" i="24"/>
  <c r="AA21" i="24"/>
  <c r="AA20" i="24"/>
  <c r="AA19" i="24"/>
  <c r="R18" i="24"/>
  <c r="S18" i="24" s="1"/>
  <c r="T18" i="24" s="1"/>
  <c r="V18" i="24" s="1"/>
  <c r="W18" i="24" s="1"/>
  <c r="X18" i="24" s="1"/>
  <c r="Q18" i="24"/>
  <c r="N18" i="24"/>
  <c r="O18" i="24" s="1"/>
  <c r="O11" i="24"/>
  <c r="O10" i="24"/>
  <c r="O9" i="24"/>
  <c r="O8" i="24"/>
  <c r="L6" i="24"/>
  <c r="K101" i="23"/>
  <c r="N101" i="23" s="1"/>
  <c r="J101" i="23"/>
  <c r="M101" i="23" s="1"/>
  <c r="F130" i="40" s="1"/>
  <c r="I101" i="23"/>
  <c r="L101" i="23" s="1"/>
  <c r="E130" i="40" s="1"/>
  <c r="N100" i="23"/>
  <c r="K100" i="23"/>
  <c r="J100" i="23"/>
  <c r="M100" i="23" s="1"/>
  <c r="F129" i="40" s="1"/>
  <c r="I100" i="23"/>
  <c r="L100" i="23" s="1"/>
  <c r="E129" i="40" s="1"/>
  <c r="N99" i="23"/>
  <c r="M99" i="23"/>
  <c r="F128" i="40" s="1"/>
  <c r="L99" i="23"/>
  <c r="E128" i="40" s="1"/>
  <c r="K99" i="23"/>
  <c r="J99" i="23"/>
  <c r="I99" i="23"/>
  <c r="M98" i="23"/>
  <c r="F127" i="40" s="1"/>
  <c r="L98" i="23"/>
  <c r="E127" i="40" s="1"/>
  <c r="K98" i="23"/>
  <c r="N98" i="23" s="1"/>
  <c r="J98" i="23"/>
  <c r="I98" i="23"/>
  <c r="K97" i="23"/>
  <c r="N97" i="23" s="1"/>
  <c r="J97" i="23"/>
  <c r="M97" i="23" s="1"/>
  <c r="F126" i="40" s="1"/>
  <c r="I97" i="23"/>
  <c r="L97" i="23" s="1"/>
  <c r="E126" i="40" s="1"/>
  <c r="N96" i="23"/>
  <c r="K96" i="23"/>
  <c r="J96" i="23"/>
  <c r="M96" i="23" s="1"/>
  <c r="F123" i="40" s="1"/>
  <c r="I96" i="23"/>
  <c r="L96" i="23" s="1"/>
  <c r="E123" i="40" s="1"/>
  <c r="E124" i="40" s="1"/>
  <c r="N95" i="23"/>
  <c r="M95" i="23"/>
  <c r="F120" i="40" s="1"/>
  <c r="L95" i="23"/>
  <c r="E120" i="40" s="1"/>
  <c r="E121" i="40" s="1"/>
  <c r="K95" i="23"/>
  <c r="J95" i="23"/>
  <c r="I95" i="23"/>
  <c r="L94" i="23"/>
  <c r="E117" i="40" s="1"/>
  <c r="E118" i="40" s="1"/>
  <c r="K94" i="23"/>
  <c r="N94" i="23" s="1"/>
  <c r="J94" i="23"/>
  <c r="M94" i="23" s="1"/>
  <c r="F117" i="40" s="1"/>
  <c r="I94" i="23"/>
  <c r="K93" i="23"/>
  <c r="N93" i="23" s="1"/>
  <c r="J93" i="23"/>
  <c r="M93" i="23" s="1"/>
  <c r="F116" i="40" s="1"/>
  <c r="I93" i="23"/>
  <c r="L93" i="23" s="1"/>
  <c r="N92" i="23"/>
  <c r="K92" i="23"/>
  <c r="J92" i="23"/>
  <c r="M92" i="23" s="1"/>
  <c r="F115" i="40" s="1"/>
  <c r="I92" i="23"/>
  <c r="L92" i="23" s="1"/>
  <c r="E115" i="40" s="1"/>
  <c r="N91" i="23"/>
  <c r="M91" i="23"/>
  <c r="F114" i="40" s="1"/>
  <c r="L91" i="23"/>
  <c r="E114" i="40" s="1"/>
  <c r="K91" i="23"/>
  <c r="J91" i="23"/>
  <c r="I91" i="23"/>
  <c r="L90" i="23"/>
  <c r="E113" i="40" s="1"/>
  <c r="K90" i="23"/>
  <c r="N90" i="23" s="1"/>
  <c r="J90" i="23"/>
  <c r="M90" i="23" s="1"/>
  <c r="F113" i="40" s="1"/>
  <c r="I90" i="23"/>
  <c r="K89" i="23"/>
  <c r="N89" i="23" s="1"/>
  <c r="J89" i="23"/>
  <c r="M89" i="23" s="1"/>
  <c r="F112" i="40" s="1"/>
  <c r="I89" i="23"/>
  <c r="L89" i="23" s="1"/>
  <c r="E112" i="40" s="1"/>
  <c r="N88" i="23"/>
  <c r="K88" i="23"/>
  <c r="J88" i="23"/>
  <c r="M88" i="23" s="1"/>
  <c r="F111" i="40" s="1"/>
  <c r="I88" i="23"/>
  <c r="L88" i="23" s="1"/>
  <c r="E111" i="40" s="1"/>
  <c r="N87" i="23"/>
  <c r="M87" i="23"/>
  <c r="F110" i="40" s="1"/>
  <c r="L87" i="23"/>
  <c r="E110" i="40" s="1"/>
  <c r="K87" i="23"/>
  <c r="J87" i="23"/>
  <c r="I87" i="23"/>
  <c r="M86" i="23"/>
  <c r="F109" i="40" s="1"/>
  <c r="L86" i="23"/>
  <c r="E109" i="40" s="1"/>
  <c r="K86" i="23"/>
  <c r="N86" i="23" s="1"/>
  <c r="J86" i="23"/>
  <c r="I86" i="23"/>
  <c r="K85" i="23"/>
  <c r="N85" i="23" s="1"/>
  <c r="J85" i="23"/>
  <c r="M85" i="23" s="1"/>
  <c r="F108" i="40" s="1"/>
  <c r="I85" i="23"/>
  <c r="L85" i="23" s="1"/>
  <c r="E108" i="40" s="1"/>
  <c r="N84" i="23"/>
  <c r="K84" i="23"/>
  <c r="J84" i="23"/>
  <c r="M84" i="23" s="1"/>
  <c r="F107" i="40" s="1"/>
  <c r="I84" i="23"/>
  <c r="L84" i="23" s="1"/>
  <c r="E107" i="40" s="1"/>
  <c r="N83" i="23"/>
  <c r="M83" i="23"/>
  <c r="F106" i="40" s="1"/>
  <c r="L83" i="23"/>
  <c r="E106" i="40" s="1"/>
  <c r="K83" i="23"/>
  <c r="J83" i="23"/>
  <c r="I83" i="23"/>
  <c r="M82" i="23"/>
  <c r="F105" i="40" s="1"/>
  <c r="L82" i="23"/>
  <c r="E105" i="40" s="1"/>
  <c r="K82" i="23"/>
  <c r="N82" i="23" s="1"/>
  <c r="J82" i="23"/>
  <c r="I82" i="23"/>
  <c r="K81" i="23"/>
  <c r="N81" i="23" s="1"/>
  <c r="J81" i="23"/>
  <c r="M81" i="23" s="1"/>
  <c r="F104" i="40" s="1"/>
  <c r="I81" i="23"/>
  <c r="L81" i="23" s="1"/>
  <c r="E104" i="40" s="1"/>
  <c r="N80" i="23"/>
  <c r="M80" i="23"/>
  <c r="F103" i="40" s="1"/>
  <c r="K80" i="23"/>
  <c r="J80" i="23"/>
  <c r="I80" i="23"/>
  <c r="L80" i="23" s="1"/>
  <c r="E103" i="40" s="1"/>
  <c r="N79" i="23"/>
  <c r="M79" i="23"/>
  <c r="F102" i="40" s="1"/>
  <c r="L79" i="23"/>
  <c r="E102" i="40" s="1"/>
  <c r="K79" i="23"/>
  <c r="J79" i="23"/>
  <c r="I79" i="23"/>
  <c r="L78" i="23"/>
  <c r="E99" i="40" s="1"/>
  <c r="K78" i="23"/>
  <c r="N78" i="23" s="1"/>
  <c r="J78" i="23"/>
  <c r="M78" i="23" s="1"/>
  <c r="F99" i="40" s="1"/>
  <c r="I78" i="23"/>
  <c r="K77" i="23"/>
  <c r="N77" i="23" s="1"/>
  <c r="J77" i="23"/>
  <c r="M77" i="23" s="1"/>
  <c r="F98" i="40" s="1"/>
  <c r="I77" i="23"/>
  <c r="L77" i="23" s="1"/>
  <c r="E98" i="40" s="1"/>
  <c r="N76" i="23"/>
  <c r="M76" i="23"/>
  <c r="F97" i="40" s="1"/>
  <c r="K76" i="23"/>
  <c r="J76" i="23"/>
  <c r="I76" i="23"/>
  <c r="L76" i="23" s="1"/>
  <c r="E97" i="40" s="1"/>
  <c r="N75" i="23"/>
  <c r="M75" i="23"/>
  <c r="F96" i="40" s="1"/>
  <c r="L75" i="23"/>
  <c r="E96" i="40" s="1"/>
  <c r="K75" i="23"/>
  <c r="J75" i="23"/>
  <c r="I75" i="23"/>
  <c r="M74" i="23"/>
  <c r="F95" i="40" s="1"/>
  <c r="L74" i="23"/>
  <c r="E95" i="40" s="1"/>
  <c r="K74" i="23"/>
  <c r="N74" i="23" s="1"/>
  <c r="J74" i="23"/>
  <c r="I74" i="23"/>
  <c r="K73" i="23"/>
  <c r="N73" i="23" s="1"/>
  <c r="J73" i="23"/>
  <c r="M73" i="23" s="1"/>
  <c r="F94" i="40" s="1"/>
  <c r="I73" i="23"/>
  <c r="L73" i="23" s="1"/>
  <c r="E94" i="40" s="1"/>
  <c r="N72" i="23"/>
  <c r="M72" i="23"/>
  <c r="F93" i="40" s="1"/>
  <c r="K72" i="23"/>
  <c r="J72" i="23"/>
  <c r="I72" i="23"/>
  <c r="L72" i="23" s="1"/>
  <c r="E93" i="40" s="1"/>
  <c r="N71" i="23"/>
  <c r="M71" i="23"/>
  <c r="F92" i="40" s="1"/>
  <c r="L71" i="23"/>
  <c r="E92" i="40" s="1"/>
  <c r="K71" i="23"/>
  <c r="J71" i="23"/>
  <c r="I71" i="23"/>
  <c r="M70" i="23"/>
  <c r="F91" i="40" s="1"/>
  <c r="L70" i="23"/>
  <c r="E91" i="40" s="1"/>
  <c r="K70" i="23"/>
  <c r="N70" i="23" s="1"/>
  <c r="J70" i="23"/>
  <c r="I70" i="23"/>
  <c r="K69" i="23"/>
  <c r="N69" i="23" s="1"/>
  <c r="J69" i="23"/>
  <c r="M69" i="23" s="1"/>
  <c r="F90" i="40" s="1"/>
  <c r="I69" i="23"/>
  <c r="L69" i="23" s="1"/>
  <c r="E90" i="40" s="1"/>
  <c r="N68" i="23"/>
  <c r="M68" i="23"/>
  <c r="F89" i="40" s="1"/>
  <c r="K68" i="23"/>
  <c r="J68" i="23"/>
  <c r="I68" i="23"/>
  <c r="L68" i="23" s="1"/>
  <c r="E89" i="40" s="1"/>
  <c r="N67" i="23"/>
  <c r="M67" i="23"/>
  <c r="F88" i="40" s="1"/>
  <c r="L67" i="23"/>
  <c r="E88" i="40" s="1"/>
  <c r="K67" i="23"/>
  <c r="J67" i="23"/>
  <c r="I67" i="23"/>
  <c r="L66" i="23"/>
  <c r="E87" i="40" s="1"/>
  <c r="K66" i="23"/>
  <c r="N66" i="23" s="1"/>
  <c r="J66" i="23"/>
  <c r="M66" i="23" s="1"/>
  <c r="F87" i="40" s="1"/>
  <c r="I66" i="23"/>
  <c r="K65" i="23"/>
  <c r="N65" i="23" s="1"/>
  <c r="J65" i="23"/>
  <c r="M65" i="23" s="1"/>
  <c r="F86" i="40" s="1"/>
  <c r="I65" i="23"/>
  <c r="L65" i="23" s="1"/>
  <c r="E86" i="40" s="1"/>
  <c r="N64" i="23"/>
  <c r="M64" i="23"/>
  <c r="F85" i="40" s="1"/>
  <c r="K64" i="23"/>
  <c r="J64" i="23"/>
  <c r="I64" i="23"/>
  <c r="L64" i="23" s="1"/>
  <c r="E85" i="40" s="1"/>
  <c r="N63" i="23"/>
  <c r="M63" i="23"/>
  <c r="F84" i="40" s="1"/>
  <c r="L63" i="23"/>
  <c r="E84" i="40" s="1"/>
  <c r="K63" i="23"/>
  <c r="J63" i="23"/>
  <c r="I63" i="23"/>
  <c r="M62" i="23"/>
  <c r="F83" i="40" s="1"/>
  <c r="L62" i="23"/>
  <c r="E83" i="40" s="1"/>
  <c r="K62" i="23"/>
  <c r="N62" i="23" s="1"/>
  <c r="J62" i="23"/>
  <c r="I62" i="23"/>
  <c r="K61" i="23"/>
  <c r="N61" i="23" s="1"/>
  <c r="J61" i="23"/>
  <c r="M61" i="23" s="1"/>
  <c r="F82" i="40" s="1"/>
  <c r="I61" i="23"/>
  <c r="L61" i="23" s="1"/>
  <c r="E82" i="40" s="1"/>
  <c r="N60" i="23"/>
  <c r="M60" i="23"/>
  <c r="K60" i="23"/>
  <c r="J60" i="23"/>
  <c r="I60" i="23"/>
  <c r="L60" i="23" s="1"/>
  <c r="E81" i="40" s="1"/>
  <c r="N59" i="23"/>
  <c r="M59" i="23"/>
  <c r="F80" i="40" s="1"/>
  <c r="L59" i="23"/>
  <c r="E80" i="40" s="1"/>
  <c r="K59" i="23"/>
  <c r="J59" i="23"/>
  <c r="I59" i="23"/>
  <c r="L58" i="23"/>
  <c r="E79" i="40" s="1"/>
  <c r="K58" i="23"/>
  <c r="N58" i="23" s="1"/>
  <c r="J58" i="23"/>
  <c r="M58" i="23" s="1"/>
  <c r="F79" i="40" s="1"/>
  <c r="I58" i="23"/>
  <c r="K57" i="23"/>
  <c r="N57" i="23" s="1"/>
  <c r="J57" i="23"/>
  <c r="M57" i="23" s="1"/>
  <c r="F78" i="40" s="1"/>
  <c r="I57" i="23"/>
  <c r="L57" i="23" s="1"/>
  <c r="E78" i="40" s="1"/>
  <c r="N56" i="23"/>
  <c r="M56" i="23"/>
  <c r="F77" i="40" s="1"/>
  <c r="K56" i="23"/>
  <c r="J56" i="23"/>
  <c r="I56" i="23"/>
  <c r="L56" i="23" s="1"/>
  <c r="E77" i="40" s="1"/>
  <c r="N55" i="23"/>
  <c r="M55" i="23"/>
  <c r="F76" i="40" s="1"/>
  <c r="L55" i="23"/>
  <c r="E76" i="40" s="1"/>
  <c r="K55" i="23"/>
  <c r="J55" i="23"/>
  <c r="I55" i="23"/>
  <c r="L54" i="23"/>
  <c r="E75" i="40" s="1"/>
  <c r="K54" i="23"/>
  <c r="N54" i="23" s="1"/>
  <c r="J54" i="23"/>
  <c r="M54" i="23" s="1"/>
  <c r="F75" i="40" s="1"/>
  <c r="I54" i="23"/>
  <c r="K53" i="23"/>
  <c r="N53" i="23" s="1"/>
  <c r="J53" i="23"/>
  <c r="M53" i="23" s="1"/>
  <c r="F74" i="40" s="1"/>
  <c r="I53" i="23"/>
  <c r="L53" i="23" s="1"/>
  <c r="E74" i="40" s="1"/>
  <c r="N52" i="23"/>
  <c r="M52" i="23"/>
  <c r="F73" i="40" s="1"/>
  <c r="K52" i="23"/>
  <c r="J52" i="23"/>
  <c r="I52" i="23"/>
  <c r="L52" i="23" s="1"/>
  <c r="E73" i="40" s="1"/>
  <c r="N51" i="23"/>
  <c r="M51" i="23"/>
  <c r="F72" i="40" s="1"/>
  <c r="L51" i="23"/>
  <c r="E72" i="40" s="1"/>
  <c r="K51" i="23"/>
  <c r="J51" i="23"/>
  <c r="I51" i="23"/>
  <c r="M50" i="23"/>
  <c r="F69" i="40" s="1"/>
  <c r="L50" i="23"/>
  <c r="E69" i="40" s="1"/>
  <c r="K50" i="23"/>
  <c r="N50" i="23" s="1"/>
  <c r="J50" i="23"/>
  <c r="I50" i="23"/>
  <c r="K49" i="23"/>
  <c r="N49" i="23" s="1"/>
  <c r="J49" i="23"/>
  <c r="M49" i="23" s="1"/>
  <c r="F68" i="40" s="1"/>
  <c r="I49" i="23"/>
  <c r="L49" i="23" s="1"/>
  <c r="E68" i="40" s="1"/>
  <c r="P68" i="40" s="1"/>
  <c r="N48" i="23"/>
  <c r="M48" i="23"/>
  <c r="F67" i="40" s="1"/>
  <c r="K48" i="23"/>
  <c r="J48" i="23"/>
  <c r="I48" i="23"/>
  <c r="L48" i="23" s="1"/>
  <c r="E67" i="40" s="1"/>
  <c r="P67" i="40" s="1"/>
  <c r="N47" i="23"/>
  <c r="M47" i="23"/>
  <c r="F66" i="40" s="1"/>
  <c r="L47" i="23"/>
  <c r="E66" i="40" s="1"/>
  <c r="P66" i="40" s="1"/>
  <c r="K47" i="23"/>
  <c r="J47" i="23"/>
  <c r="I47" i="23"/>
  <c r="L46" i="23"/>
  <c r="K46" i="23"/>
  <c r="N46" i="23" s="1"/>
  <c r="J46" i="23"/>
  <c r="M46" i="23" s="1"/>
  <c r="F65" i="40" s="1"/>
  <c r="I46" i="23"/>
  <c r="K45" i="23"/>
  <c r="N45" i="23" s="1"/>
  <c r="J45" i="23"/>
  <c r="M45" i="23" s="1"/>
  <c r="F64" i="40" s="1"/>
  <c r="I45" i="23"/>
  <c r="L45" i="23" s="1"/>
  <c r="E64" i="40" s="1"/>
  <c r="P64" i="40" s="1"/>
  <c r="N44" i="23"/>
  <c r="M44" i="23"/>
  <c r="F63" i="40" s="1"/>
  <c r="K44" i="23"/>
  <c r="J44" i="23"/>
  <c r="I44" i="23"/>
  <c r="L44" i="23" s="1"/>
  <c r="E63" i="40" s="1"/>
  <c r="P63" i="40" s="1"/>
  <c r="N43" i="23"/>
  <c r="M43" i="23"/>
  <c r="F62" i="40" s="1"/>
  <c r="L43" i="23"/>
  <c r="E62" i="40" s="1"/>
  <c r="P62" i="40" s="1"/>
  <c r="K43" i="23"/>
  <c r="J43" i="23"/>
  <c r="I43" i="23"/>
  <c r="M42" i="23"/>
  <c r="F61" i="40" s="1"/>
  <c r="L42" i="23"/>
  <c r="E61" i="40" s="1"/>
  <c r="P61" i="40" s="1"/>
  <c r="K42" i="23"/>
  <c r="N42" i="23" s="1"/>
  <c r="J42" i="23"/>
  <c r="I42" i="23"/>
  <c r="K41" i="23"/>
  <c r="N41" i="23" s="1"/>
  <c r="J41" i="23"/>
  <c r="M41" i="23" s="1"/>
  <c r="F60" i="40" s="1"/>
  <c r="I41" i="23"/>
  <c r="L41" i="23" s="1"/>
  <c r="E60" i="40" s="1"/>
  <c r="P60" i="40" s="1"/>
  <c r="N40" i="23"/>
  <c r="M40" i="23"/>
  <c r="F59" i="40" s="1"/>
  <c r="K40" i="23"/>
  <c r="J40" i="23"/>
  <c r="I40" i="23"/>
  <c r="L40" i="23" s="1"/>
  <c r="E59" i="40" s="1"/>
  <c r="P59" i="40" s="1"/>
  <c r="N39" i="23"/>
  <c r="M39" i="23"/>
  <c r="F58" i="40" s="1"/>
  <c r="L39" i="23"/>
  <c r="E58" i="40" s="1"/>
  <c r="P58" i="40" s="1"/>
  <c r="K39" i="23"/>
  <c r="J39" i="23"/>
  <c r="I39" i="23"/>
  <c r="L38" i="23"/>
  <c r="E57" i="40" s="1"/>
  <c r="P57" i="40" s="1"/>
  <c r="K38" i="23"/>
  <c r="N38" i="23" s="1"/>
  <c r="J38" i="23"/>
  <c r="M38" i="23" s="1"/>
  <c r="F57" i="40" s="1"/>
  <c r="I38" i="23"/>
  <c r="K37" i="23"/>
  <c r="N37" i="23" s="1"/>
  <c r="J37" i="23"/>
  <c r="M37" i="23" s="1"/>
  <c r="F56" i="40" s="1"/>
  <c r="I37" i="23"/>
  <c r="L37" i="23" s="1"/>
  <c r="E56" i="40" s="1"/>
  <c r="P56" i="40" s="1"/>
  <c r="N36" i="23"/>
  <c r="M36" i="23"/>
  <c r="F55" i="40" s="1"/>
  <c r="K36" i="23"/>
  <c r="J36" i="23"/>
  <c r="I36" i="23"/>
  <c r="L36" i="23" s="1"/>
  <c r="E55" i="40" s="1"/>
  <c r="P55" i="40" s="1"/>
  <c r="N35" i="23"/>
  <c r="M35" i="23"/>
  <c r="F54" i="40" s="1"/>
  <c r="L35" i="23"/>
  <c r="E54" i="40" s="1"/>
  <c r="P54" i="40" s="1"/>
  <c r="K35" i="23"/>
  <c r="J35" i="23"/>
  <c r="I35" i="23"/>
  <c r="L34" i="23"/>
  <c r="E53" i="40" s="1"/>
  <c r="P53" i="40" s="1"/>
  <c r="K34" i="23"/>
  <c r="N34" i="23" s="1"/>
  <c r="J34" i="23"/>
  <c r="M34" i="23" s="1"/>
  <c r="F53" i="40" s="1"/>
  <c r="I34" i="23"/>
  <c r="K33" i="23"/>
  <c r="N33" i="23" s="1"/>
  <c r="J33" i="23"/>
  <c r="M33" i="23" s="1"/>
  <c r="F52" i="40" s="1"/>
  <c r="I33" i="23"/>
  <c r="L33" i="23" s="1"/>
  <c r="E52" i="40" s="1"/>
  <c r="P52" i="40" s="1"/>
  <c r="N32" i="23"/>
  <c r="M32" i="23"/>
  <c r="F51" i="40" s="1"/>
  <c r="K32" i="23"/>
  <c r="J32" i="23"/>
  <c r="I32" i="23"/>
  <c r="L32" i="23" s="1"/>
  <c r="E51" i="40" s="1"/>
  <c r="P51" i="40" s="1"/>
  <c r="N31" i="23"/>
  <c r="M31" i="23"/>
  <c r="F50" i="40" s="1"/>
  <c r="L31" i="23"/>
  <c r="E50" i="40" s="1"/>
  <c r="P50" i="40" s="1"/>
  <c r="K31" i="23"/>
  <c r="J31" i="23"/>
  <c r="I31" i="23"/>
  <c r="L30" i="23"/>
  <c r="E49" i="40" s="1"/>
  <c r="P49" i="40" s="1"/>
  <c r="K30" i="23"/>
  <c r="N30" i="23" s="1"/>
  <c r="J30" i="23"/>
  <c r="M30" i="23" s="1"/>
  <c r="F49" i="40" s="1"/>
  <c r="I30" i="23"/>
  <c r="K29" i="23"/>
  <c r="N29" i="23" s="1"/>
  <c r="J29" i="23"/>
  <c r="M29" i="23" s="1"/>
  <c r="F48" i="40" s="1"/>
  <c r="I29" i="23"/>
  <c r="L29" i="23" s="1"/>
  <c r="E48" i="40" s="1"/>
  <c r="P48" i="40" s="1"/>
  <c r="N28" i="23"/>
  <c r="M28" i="23"/>
  <c r="F47" i="40" s="1"/>
  <c r="K28" i="23"/>
  <c r="J28" i="23"/>
  <c r="I28" i="23"/>
  <c r="L28" i="23" s="1"/>
  <c r="E47" i="40" s="1"/>
  <c r="P47" i="40" s="1"/>
  <c r="N27" i="23"/>
  <c r="M27" i="23"/>
  <c r="F46" i="40" s="1"/>
  <c r="L27" i="23"/>
  <c r="E46" i="40" s="1"/>
  <c r="P46" i="40" s="1"/>
  <c r="K27" i="23"/>
  <c r="J27" i="23"/>
  <c r="I27" i="23"/>
  <c r="M26" i="23"/>
  <c r="F45" i="40" s="1"/>
  <c r="L26" i="23"/>
  <c r="E45" i="40" s="1"/>
  <c r="P45" i="40" s="1"/>
  <c r="K26" i="23"/>
  <c r="N26" i="23" s="1"/>
  <c r="J26" i="23"/>
  <c r="I26" i="23"/>
  <c r="K25" i="23"/>
  <c r="N25" i="23" s="1"/>
  <c r="J25" i="23"/>
  <c r="M25" i="23" s="1"/>
  <c r="F44" i="40" s="1"/>
  <c r="I25" i="23"/>
  <c r="L25" i="23" s="1"/>
  <c r="E44" i="40" s="1"/>
  <c r="P44" i="40" s="1"/>
  <c r="N24" i="23"/>
  <c r="M24" i="23"/>
  <c r="F43" i="40" s="1"/>
  <c r="K24" i="23"/>
  <c r="J24" i="23"/>
  <c r="I24" i="23"/>
  <c r="L24" i="23" s="1"/>
  <c r="E43" i="40" s="1"/>
  <c r="P43" i="40" s="1"/>
  <c r="N23" i="23"/>
  <c r="M23" i="23"/>
  <c r="F42" i="40" s="1"/>
  <c r="L23" i="23"/>
  <c r="E42" i="40" s="1"/>
  <c r="P42" i="40" s="1"/>
  <c r="K23" i="23"/>
  <c r="J23" i="23"/>
  <c r="I23" i="23"/>
  <c r="L22" i="23"/>
  <c r="E41" i="40" s="1"/>
  <c r="P41" i="40" s="1"/>
  <c r="K22" i="23"/>
  <c r="N22" i="23" s="1"/>
  <c r="J22" i="23"/>
  <c r="M22" i="23" s="1"/>
  <c r="F41" i="40" s="1"/>
  <c r="I22" i="23"/>
  <c r="K21" i="23"/>
  <c r="N21" i="23" s="1"/>
  <c r="J21" i="23"/>
  <c r="M21" i="23" s="1"/>
  <c r="F33" i="40" s="1"/>
  <c r="I21" i="23"/>
  <c r="L21" i="23" s="1"/>
  <c r="E33" i="40" s="1"/>
  <c r="N20" i="23"/>
  <c r="M20" i="23"/>
  <c r="F32" i="40" s="1"/>
  <c r="K20" i="23"/>
  <c r="J20" i="23"/>
  <c r="I20" i="23"/>
  <c r="L20" i="23" s="1"/>
  <c r="E32" i="40" s="1"/>
  <c r="P32" i="40" s="1"/>
  <c r="N19" i="23"/>
  <c r="M19" i="23"/>
  <c r="F31" i="40" s="1"/>
  <c r="L19" i="23"/>
  <c r="E31" i="40" s="1"/>
  <c r="K19" i="23"/>
  <c r="J19" i="23"/>
  <c r="I19" i="23"/>
  <c r="L18" i="23"/>
  <c r="E30" i="40" s="1"/>
  <c r="K18" i="23"/>
  <c r="N18" i="23" s="1"/>
  <c r="J18" i="23"/>
  <c r="M18" i="23" s="1"/>
  <c r="F30" i="40" s="1"/>
  <c r="I18" i="23"/>
  <c r="N14" i="23"/>
  <c r="N18" i="32" s="1"/>
  <c r="M13" i="23"/>
  <c r="E17" i="32" s="1"/>
  <c r="AA12" i="23"/>
  <c r="N12" i="23" s="1"/>
  <c r="N16" i="32" s="1"/>
  <c r="M12" i="23"/>
  <c r="E16" i="32" s="1"/>
  <c r="M11" i="23"/>
  <c r="E15" i="32" s="1"/>
  <c r="N3" i="23"/>
  <c r="C34" i="22"/>
  <c r="E29" i="22"/>
  <c r="C29" i="22" s="1"/>
  <c r="D5" i="29" s="1"/>
  <c r="C8" i="22"/>
  <c r="D3" i="44" s="1"/>
  <c r="C7" i="22"/>
  <c r="E5" i="41" s="1"/>
  <c r="E4" i="22"/>
  <c r="C4" i="22" s="1"/>
  <c r="C2" i="22"/>
  <c r="I53" i="21"/>
  <c r="H53" i="21"/>
  <c r="G53" i="21"/>
  <c r="J52" i="21"/>
  <c r="I52" i="21"/>
  <c r="H52" i="21"/>
  <c r="G52" i="21"/>
  <c r="I51" i="21"/>
  <c r="H51" i="21"/>
  <c r="G51" i="21"/>
  <c r="I50" i="21"/>
  <c r="H50" i="21"/>
  <c r="G50" i="21"/>
  <c r="I49" i="21"/>
  <c r="H49" i="21"/>
  <c r="G49" i="21"/>
  <c r="I48" i="21"/>
  <c r="H48" i="21"/>
  <c r="G48" i="21"/>
  <c r="I47" i="21"/>
  <c r="H47" i="21"/>
  <c r="G47" i="21"/>
  <c r="E29" i="21" s="1"/>
  <c r="J46" i="21"/>
  <c r="I46" i="21"/>
  <c r="K45" i="21"/>
  <c r="I45" i="21"/>
  <c r="G36" i="21"/>
  <c r="F36" i="21"/>
  <c r="F32" i="21"/>
  <c r="F29" i="21"/>
  <c r="AX62" i="20"/>
  <c r="AX61" i="20"/>
  <c r="AX60" i="20"/>
  <c r="AX59" i="20"/>
  <c r="AX58" i="20"/>
  <c r="AX57" i="20"/>
  <c r="AX56" i="20"/>
  <c r="AX55" i="20"/>
  <c r="AX54" i="20"/>
  <c r="AO54" i="20"/>
  <c r="W54" i="20"/>
  <c r="AX51" i="20"/>
  <c r="AV51" i="20"/>
  <c r="AX50" i="20"/>
  <c r="AX49" i="20"/>
  <c r="AX48" i="20"/>
  <c r="AX47" i="20"/>
  <c r="AB47" i="20"/>
  <c r="AX46" i="20"/>
  <c r="AX45" i="20"/>
  <c r="AU45" i="20"/>
  <c r="AN44" i="20"/>
  <c r="AO44" i="20" s="1"/>
  <c r="AP44" i="20" s="1"/>
  <c r="AQ44" i="20" s="1"/>
  <c r="AS44" i="20" s="1"/>
  <c r="AT44" i="20" s="1"/>
  <c r="AU44" i="20" s="1"/>
  <c r="U44" i="20"/>
  <c r="V44" i="20" s="1"/>
  <c r="W44" i="20" s="1"/>
  <c r="X44" i="20" s="1"/>
  <c r="Y44" i="20" s="1"/>
  <c r="AA44" i="20" s="1"/>
  <c r="AB44" i="20" s="1"/>
  <c r="AB36" i="20"/>
  <c r="AB35" i="20"/>
  <c r="AB33" i="20"/>
  <c r="AB32" i="20"/>
  <c r="AB31" i="20"/>
  <c r="AB30" i="20"/>
  <c r="S28" i="20"/>
  <c r="S27" i="20"/>
  <c r="AX17" i="20"/>
  <c r="AX16" i="20"/>
  <c r="AX15" i="20"/>
  <c r="AX14" i="20"/>
  <c r="AX13" i="20"/>
  <c r="AX12" i="20"/>
  <c r="AX11" i="20"/>
  <c r="AO11" i="20"/>
  <c r="W11" i="20"/>
  <c r="AX8" i="20"/>
  <c r="AV8" i="20"/>
  <c r="S8" i="20"/>
  <c r="AX7" i="20"/>
  <c r="J7" i="20"/>
  <c r="AX6" i="20"/>
  <c r="I6" i="20"/>
  <c r="AX5" i="20"/>
  <c r="AB5" i="20"/>
  <c r="S5" i="20"/>
  <c r="K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U50" i="19"/>
  <c r="AT49" i="19"/>
  <c r="AQ49" i="19"/>
  <c r="AJ48" i="19"/>
  <c r="AK48" i="19" s="1"/>
  <c r="AL48" i="19" s="1"/>
  <c r="AM48" i="19" s="1"/>
  <c r="AO48" i="19" s="1"/>
  <c r="AP48" i="19" s="1"/>
  <c r="AQ48" i="19" s="1"/>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D43" i="18"/>
  <c r="S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D44" i="17"/>
  <c r="S44" i="17"/>
  <c r="AP43" i="17"/>
  <c r="AM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D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D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K8" i="15"/>
  <c r="S8" i="15" s="1"/>
  <c r="AP7" i="15"/>
  <c r="J7" i="15"/>
  <c r="S7" i="15" s="1"/>
  <c r="AP6" i="15"/>
  <c r="S6" i="15"/>
  <c r="I6" i="15"/>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AP45" i="14"/>
  <c r="AP44" i="14"/>
  <c r="S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S46" i="13"/>
  <c r="I47" i="13" s="1"/>
  <c r="AP45" i="13"/>
  <c r="AP44" i="13"/>
  <c r="AP43" i="13"/>
  <c r="AM43" i="13"/>
  <c r="AD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J7" i="13"/>
  <c r="S7" i="13" s="1"/>
  <c r="AP6" i="13"/>
  <c r="I6" i="13"/>
  <c r="S6" i="13" s="1"/>
  <c r="AP5" i="13"/>
  <c r="AD5" i="13"/>
  <c r="S5" i="13"/>
  <c r="AP4" i="13"/>
  <c r="AD4" i="13"/>
  <c r="S4" i="13"/>
  <c r="AP3" i="13"/>
  <c r="AD3" i="13"/>
  <c r="S3" i="13"/>
  <c r="AP2" i="13"/>
  <c r="AD2" i="13"/>
  <c r="S2" i="13"/>
  <c r="G17" i="12"/>
  <c r="E16" i="12"/>
  <c r="G14" i="12"/>
  <c r="E13" i="12"/>
  <c r="D6"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c r="J14" i="11"/>
  <c r="F14" i="11"/>
  <c r="E14" i="11"/>
  <c r="E13" i="11"/>
  <c r="G13" i="11" s="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S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F40" i="34" s="1"/>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E36" i="34" s="1"/>
  <c r="AQ64" i="5"/>
  <c r="AP64" i="5"/>
  <c r="S43" i="35" s="1"/>
  <c r="I44" i="35" s="1"/>
  <c r="AO64" i="5"/>
  <c r="S42" i="35" s="1"/>
  <c r="AN64" i="5"/>
  <c r="S41" i="35" s="1"/>
  <c r="AM64" i="5"/>
  <c r="AL64" i="5"/>
  <c r="AC43" i="35" s="1"/>
  <c r="AK64" i="5"/>
  <c r="AC42" i="35" s="1"/>
  <c r="AJ64" i="5"/>
  <c r="AC41" i="35" s="1"/>
  <c r="AI64" i="5"/>
  <c r="F192" i="34" s="1"/>
  <c r="AH64" i="5"/>
  <c r="AQ48" i="5"/>
  <c r="S48" i="20" s="1"/>
  <c r="AP48" i="5"/>
  <c r="S47" i="20" s="1"/>
  <c r="AO48" i="5"/>
  <c r="S46" i="20" s="1"/>
  <c r="AN48" i="5"/>
  <c r="S45" i="20" s="1"/>
  <c r="AM48" i="5"/>
  <c r="AB48" i="20" s="1"/>
  <c r="AL48" i="5"/>
  <c r="AK48" i="5"/>
  <c r="AB46" i="20" s="1"/>
  <c r="AJ48" i="5"/>
  <c r="AB45" i="20" s="1"/>
  <c r="AI48" i="5"/>
  <c r="AH48" i="5"/>
  <c r="AQ43" i="5"/>
  <c r="S46" i="15" s="1"/>
  <c r="I47" i="15" s="1"/>
  <c r="AP43" i="5"/>
  <c r="S45" i="15" s="1"/>
  <c r="AO43" i="5"/>
  <c r="S44" i="15" s="1"/>
  <c r="AN43" i="5"/>
  <c r="S43" i="15" s="1"/>
  <c r="AM43" i="5"/>
  <c r="AD46" i="15" s="1"/>
  <c r="AL43" i="5"/>
  <c r="AD45" i="15" s="1"/>
  <c r="AK43" i="5"/>
  <c r="AJ43" i="5"/>
  <c r="AD43" i="15" s="1"/>
  <c r="AI43" i="5"/>
  <c r="AH43" i="5"/>
  <c r="AQ38" i="5"/>
  <c r="S46" i="18" s="1"/>
  <c r="AP38" i="5"/>
  <c r="S45" i="18" s="1"/>
  <c r="AO38" i="5"/>
  <c r="S44" i="18" s="1"/>
  <c r="AN38" i="5"/>
  <c r="AM38" i="5"/>
  <c r="AD46" i="18" s="1"/>
  <c r="AL38" i="5"/>
  <c r="AD45" i="18" s="1"/>
  <c r="AK38" i="5"/>
  <c r="AD44" i="18" s="1"/>
  <c r="AJ38" i="5"/>
  <c r="AI38" i="5"/>
  <c r="AH38" i="5"/>
  <c r="AQ33" i="5"/>
  <c r="S46" i="17" s="1"/>
  <c r="AP33" i="5"/>
  <c r="S45" i="17" s="1"/>
  <c r="AO33" i="5"/>
  <c r="AN33" i="5"/>
  <c r="S43" i="17" s="1"/>
  <c r="AM33" i="5"/>
  <c r="AD46" i="17" s="1"/>
  <c r="AL33" i="5"/>
  <c r="AD45" i="17" s="1"/>
  <c r="AK33" i="5"/>
  <c r="AJ33" i="5"/>
  <c r="AD43" i="17" s="1"/>
  <c r="AI33" i="5"/>
  <c r="AH33" i="5"/>
  <c r="AQ28" i="5"/>
  <c r="U52" i="19" s="1"/>
  <c r="I53" i="19" s="1"/>
  <c r="J54" i="19" s="1"/>
  <c r="AP28" i="5"/>
  <c r="U51" i="19" s="1"/>
  <c r="AO28" i="5"/>
  <c r="AN28" i="5"/>
  <c r="U49" i="19" s="1"/>
  <c r="AM28" i="5"/>
  <c r="AG52" i="19" s="1"/>
  <c r="AL28" i="5"/>
  <c r="AG51" i="19" s="1"/>
  <c r="AK28" i="5"/>
  <c r="AG50" i="19" s="1"/>
  <c r="AJ28" i="5"/>
  <c r="AG49" i="19" s="1"/>
  <c r="AI28" i="5"/>
  <c r="AH28" i="5"/>
  <c r="AQ23" i="5"/>
  <c r="L22" i="24" s="1"/>
  <c r="F23" i="24" s="1"/>
  <c r="AP23" i="5"/>
  <c r="L21" i="24" s="1"/>
  <c r="AO23" i="5"/>
  <c r="L20" i="24" s="1"/>
  <c r="AN23" i="5"/>
  <c r="L19" i="24" s="1"/>
  <c r="AM23" i="5"/>
  <c r="O22" i="24" s="1"/>
  <c r="AL23" i="5"/>
  <c r="O21" i="24" s="1"/>
  <c r="AK23" i="5"/>
  <c r="O20" i="24" s="1"/>
  <c r="AJ23" i="5"/>
  <c r="AD43" i="16" s="1"/>
  <c r="AI23" i="5"/>
  <c r="AH23" i="5"/>
  <c r="AQ18" i="5"/>
  <c r="S46" i="14" s="1"/>
  <c r="I47" i="14" s="1"/>
  <c r="AP18" i="5"/>
  <c r="S45" i="14" s="1"/>
  <c r="AO18" i="5"/>
  <c r="AN18" i="5"/>
  <c r="S43" i="14" s="1"/>
  <c r="AM18" i="5"/>
  <c r="AL18" i="5"/>
  <c r="AD45" i="14" s="1"/>
  <c r="AK18" i="5"/>
  <c r="AD44" i="14" s="1"/>
  <c r="AJ18" i="5"/>
  <c r="AD43" i="14" s="1"/>
  <c r="AI18" i="5"/>
  <c r="AH18" i="5"/>
  <c r="AQ13" i="5"/>
  <c r="AP13" i="5"/>
  <c r="S45" i="13" s="1"/>
  <c r="AO13" i="5"/>
  <c r="S44" i="13" s="1"/>
  <c r="AN13" i="5"/>
  <c r="S43" i="13" s="1"/>
  <c r="AM13" i="5"/>
  <c r="AD46" i="13" s="1"/>
  <c r="AL13" i="5"/>
  <c r="AD45" i="13" s="1"/>
  <c r="AK13" i="5"/>
  <c r="AD44" i="13" s="1"/>
  <c r="AJ13" i="5"/>
  <c r="AI13" i="5"/>
  <c r="AH13" i="5"/>
  <c r="E18" i="34" s="1"/>
  <c r="D6" i="5"/>
  <c r="D5" i="5"/>
  <c r="R24" i="4"/>
  <c r="N12" i="42" s="1"/>
  <c r="P24" i="4"/>
  <c r="R22" i="4"/>
  <c r="P22" i="4"/>
  <c r="I22" i="4"/>
  <c r="Q22" i="4" s="1"/>
  <c r="R20" i="4"/>
  <c r="P20" i="4"/>
  <c r="E20" i="4"/>
  <c r="R17" i="4"/>
  <c r="R15" i="4"/>
  <c r="R13" i="4"/>
  <c r="I11" i="31" s="1"/>
  <c r="E13" i="4"/>
  <c r="P17" i="4" s="1"/>
  <c r="E7" i="4"/>
  <c r="D5" i="4"/>
  <c r="O19" i="3"/>
  <c r="M19" i="3" a="1"/>
  <c r="M19" i="3" s="1"/>
  <c r="J19" i="3"/>
  <c r="E19" i="3"/>
  <c r="E18" i="3"/>
  <c r="G18" i="3" s="1"/>
  <c r="O16" i="3"/>
  <c r="M16" i="3" a="1"/>
  <c r="M16" i="3"/>
  <c r="J16" i="3"/>
  <c r="E16" i="3"/>
  <c r="G15" i="3"/>
  <c r="I15" i="4" s="1"/>
  <c r="Q15" i="4" s="1"/>
  <c r="E15" i="3"/>
  <c r="O13" i="3"/>
  <c r="M13" i="3" a="1"/>
  <c r="M13" i="3"/>
  <c r="J13" i="3"/>
  <c r="E13" i="3"/>
  <c r="E12" i="3"/>
  <c r="G12" i="3" s="1"/>
  <c r="E4" i="3"/>
  <c r="E59" i="2"/>
  <c r="E49" i="2"/>
  <c r="E41" i="2"/>
  <c r="F25" i="2"/>
  <c r="E22" i="2"/>
  <c r="E21" i="2"/>
  <c r="F20" i="2"/>
  <c r="E3" i="2"/>
  <c r="E2" i="2"/>
  <c r="Q8" i="44" l="1"/>
  <c r="M11" i="43"/>
  <c r="M11" i="42"/>
  <c r="L10" i="32"/>
  <c r="H51" i="41"/>
  <c r="Q27" i="33"/>
  <c r="Q10" i="31"/>
  <c r="M26" i="40"/>
  <c r="I47" i="17"/>
  <c r="J48" i="17"/>
  <c r="I17" i="4"/>
  <c r="Q17" i="4" s="1"/>
  <c r="I24" i="4"/>
  <c r="Q24" i="4" s="1"/>
  <c r="L25" i="40"/>
  <c r="O7" i="44"/>
  <c r="L10" i="42"/>
  <c r="K9" i="32"/>
  <c r="H41" i="41"/>
  <c r="O26" i="33"/>
  <c r="L10" i="43"/>
  <c r="O9" i="31"/>
  <c r="K8" i="18"/>
  <c r="S8" i="18" s="1"/>
  <c r="S7" i="18"/>
  <c r="J48" i="14"/>
  <c r="S47" i="14"/>
  <c r="G24" i="24"/>
  <c r="L23" i="24"/>
  <c r="J48" i="15"/>
  <c r="S47" i="15"/>
  <c r="K26" i="40"/>
  <c r="M8" i="44"/>
  <c r="K11" i="43"/>
  <c r="M27" i="33"/>
  <c r="M10" i="31"/>
  <c r="K11" i="42"/>
  <c r="J10" i="32"/>
  <c r="H33" i="41"/>
  <c r="S7" i="17"/>
  <c r="K8" i="17"/>
  <c r="S8" i="17" s="1"/>
  <c r="P33" i="40"/>
  <c r="B34" i="40"/>
  <c r="J48" i="18"/>
  <c r="I47" i="18"/>
  <c r="K55" i="19"/>
  <c r="U54" i="19"/>
  <c r="J50" i="20"/>
  <c r="I49" i="20"/>
  <c r="K51" i="20"/>
  <c r="S51" i="20" s="1"/>
  <c r="D35" i="7"/>
  <c r="D34" i="7"/>
  <c r="D36" i="7"/>
  <c r="D37" i="7" s="1"/>
  <c r="D38" i="7" s="1"/>
  <c r="D33" i="7"/>
  <c r="J48" i="13"/>
  <c r="S47" i="13"/>
  <c r="I21" i="4"/>
  <c r="I13" i="4"/>
  <c r="Q13" i="4" s="1"/>
  <c r="I20" i="4"/>
  <c r="Q20" i="4" s="1"/>
  <c r="J7" i="14"/>
  <c r="S6" i="14"/>
  <c r="K8" i="16"/>
  <c r="S8" i="16" s="1"/>
  <c r="S7" i="16"/>
  <c r="U7" i="19"/>
  <c r="K8" i="19"/>
  <c r="E182" i="34"/>
  <c r="E143" i="34"/>
  <c r="E104" i="34"/>
  <c r="E65" i="34"/>
  <c r="E24" i="34"/>
  <c r="E190" i="34"/>
  <c r="E151" i="34"/>
  <c r="E112" i="34"/>
  <c r="E73" i="34"/>
  <c r="E32" i="34"/>
  <c r="E32" i="21"/>
  <c r="P15" i="4"/>
  <c r="M12" i="43"/>
  <c r="H52" i="41"/>
  <c r="M12" i="42"/>
  <c r="M27" i="40"/>
  <c r="Q11" i="31"/>
  <c r="L11" i="32"/>
  <c r="Q9" i="44"/>
  <c r="Q28" i="33"/>
  <c r="F42" i="34"/>
  <c r="F200" i="34"/>
  <c r="F161" i="34"/>
  <c r="F122" i="34"/>
  <c r="F83" i="34"/>
  <c r="S42" i="50"/>
  <c r="S42" i="49"/>
  <c r="F50" i="34"/>
  <c r="F208" i="34"/>
  <c r="F169" i="34"/>
  <c r="F130" i="34"/>
  <c r="F91" i="34"/>
  <c r="AD46" i="16"/>
  <c r="E5" i="65"/>
  <c r="D5" i="63"/>
  <c r="O9" i="66"/>
  <c r="J8" i="65"/>
  <c r="E56" i="34"/>
  <c r="E11" i="29"/>
  <c r="E5" i="64"/>
  <c r="E10" i="29"/>
  <c r="E28" i="28"/>
  <c r="G8" i="65"/>
  <c r="E25" i="28"/>
  <c r="E24" i="28"/>
  <c r="E35" i="28"/>
  <c r="F5" i="48"/>
  <c r="AA11" i="23"/>
  <c r="N11" i="23" s="1"/>
  <c r="N15" i="32" s="1"/>
  <c r="E42" i="28"/>
  <c r="AA16" i="23"/>
  <c r="N16" i="23" s="1"/>
  <c r="N21" i="32" s="1"/>
  <c r="E3" i="22"/>
  <c r="C3" i="22" s="1"/>
  <c r="D5" i="32" s="1"/>
  <c r="D8" i="34"/>
  <c r="E38" i="28"/>
  <c r="AA13" i="23"/>
  <c r="N13" i="23" s="1"/>
  <c r="N17" i="32" s="1"/>
  <c r="L18" i="34"/>
  <c r="E32" i="28"/>
  <c r="AA15" i="23"/>
  <c r="N15" i="23" s="1"/>
  <c r="N19" i="32" s="1"/>
  <c r="E6" i="22"/>
  <c r="C6" i="22" s="1"/>
  <c r="E21" i="40" s="1"/>
  <c r="J51" i="21"/>
  <c r="J49" i="21"/>
  <c r="U14" i="23"/>
  <c r="M14" i="23" s="1"/>
  <c r="E18" i="32" s="1"/>
  <c r="F120" i="34"/>
  <c r="F198" i="34"/>
  <c r="F24" i="34"/>
  <c r="F182" i="34"/>
  <c r="F143" i="34"/>
  <c r="F104" i="34"/>
  <c r="F65" i="34"/>
  <c r="F190" i="34"/>
  <c r="F151" i="34"/>
  <c r="F112" i="34"/>
  <c r="F73" i="34"/>
  <c r="F176" i="34"/>
  <c r="F137" i="34"/>
  <c r="F98" i="34"/>
  <c r="F59" i="34"/>
  <c r="F18" i="34"/>
  <c r="F26" i="34"/>
  <c r="F184" i="34"/>
  <c r="F145" i="34"/>
  <c r="F106" i="34"/>
  <c r="F67" i="34"/>
  <c r="J10" i="42"/>
  <c r="K7" i="44"/>
  <c r="J10" i="43"/>
  <c r="K26" i="33"/>
  <c r="K9" i="31"/>
  <c r="I9" i="32"/>
  <c r="H23" i="41"/>
  <c r="J25" i="40"/>
  <c r="E20" i="34"/>
  <c r="E178" i="34"/>
  <c r="E139" i="34"/>
  <c r="E100" i="34"/>
  <c r="E61" i="34"/>
  <c r="E28" i="34"/>
  <c r="E186" i="34"/>
  <c r="E147" i="34"/>
  <c r="E108" i="34"/>
  <c r="E69" i="34"/>
  <c r="E194" i="34"/>
  <c r="E155" i="34"/>
  <c r="E116" i="34"/>
  <c r="E77" i="34"/>
  <c r="S44" i="36"/>
  <c r="J45" i="36"/>
  <c r="E44" i="34"/>
  <c r="E202" i="34"/>
  <c r="E163" i="34"/>
  <c r="E124" i="34"/>
  <c r="E85" i="34"/>
  <c r="S43" i="49"/>
  <c r="I44" i="49" s="1"/>
  <c r="S43" i="50"/>
  <c r="I44" i="50" s="1"/>
  <c r="E210" i="34"/>
  <c r="E171" i="34"/>
  <c r="E132" i="34"/>
  <c r="E93" i="34"/>
  <c r="S44" i="53"/>
  <c r="J45" i="53"/>
  <c r="K8" i="13"/>
  <c r="S8" i="13" s="1"/>
  <c r="S44" i="16"/>
  <c r="J47" i="21"/>
  <c r="J45" i="21" s="1"/>
  <c r="E5" i="2" s="1"/>
  <c r="E5" i="22"/>
  <c r="C5" i="22" s="1"/>
  <c r="D5" i="12" s="1"/>
  <c r="O19" i="24"/>
  <c r="L23" i="26"/>
  <c r="G24" i="26"/>
  <c r="S11" i="31"/>
  <c r="E52" i="34"/>
  <c r="F194" i="34"/>
  <c r="F155" i="34"/>
  <c r="F116" i="34"/>
  <c r="F77" i="34"/>
  <c r="F36" i="34"/>
  <c r="F202" i="34"/>
  <c r="F163" i="34"/>
  <c r="F124" i="34"/>
  <c r="F85" i="34"/>
  <c r="F44" i="34"/>
  <c r="F210" i="34"/>
  <c r="F171" i="34"/>
  <c r="F132" i="34"/>
  <c r="F93" i="34"/>
  <c r="F52" i="34"/>
  <c r="AD44" i="16"/>
  <c r="L59" i="34"/>
  <c r="L137" i="34"/>
  <c r="I12" i="42"/>
  <c r="H16" i="41"/>
  <c r="I27" i="40"/>
  <c r="I9" i="44"/>
  <c r="I28" i="33"/>
  <c r="I12" i="43"/>
  <c r="F48" i="34"/>
  <c r="F206" i="34"/>
  <c r="F167" i="34"/>
  <c r="F128" i="34"/>
  <c r="F89" i="34"/>
  <c r="H59" i="41"/>
  <c r="N25" i="40"/>
  <c r="N10" i="43"/>
  <c r="M9" i="32"/>
  <c r="S26" i="33"/>
  <c r="N10" i="42"/>
  <c r="S9" i="31"/>
  <c r="S7" i="44"/>
  <c r="F178" i="34"/>
  <c r="F139" i="34"/>
  <c r="F100" i="34"/>
  <c r="F61" i="34"/>
  <c r="F20" i="34"/>
  <c r="E180" i="34"/>
  <c r="E141" i="34"/>
  <c r="E102" i="34"/>
  <c r="E63" i="34"/>
  <c r="E22" i="34"/>
  <c r="S44" i="37"/>
  <c r="J45" i="37"/>
  <c r="AC41" i="50"/>
  <c r="AC41" i="49"/>
  <c r="J50" i="21"/>
  <c r="U15" i="23"/>
  <c r="M15" i="23" s="1"/>
  <c r="E19" i="32" s="1"/>
  <c r="F75" i="34"/>
  <c r="F153" i="34"/>
  <c r="J45" i="52"/>
  <c r="E198" i="34"/>
  <c r="E159" i="34"/>
  <c r="E120" i="34"/>
  <c r="E81" i="34"/>
  <c r="E40" i="34"/>
  <c r="AC43" i="50"/>
  <c r="AC43" i="49"/>
  <c r="E206" i="34"/>
  <c r="E167" i="34"/>
  <c r="E128" i="34"/>
  <c r="E89" i="34"/>
  <c r="E48" i="34"/>
  <c r="H43" i="41"/>
  <c r="L27" i="40"/>
  <c r="O9" i="44"/>
  <c r="L12" i="42"/>
  <c r="O28" i="33"/>
  <c r="O11" i="31"/>
  <c r="K11" i="32"/>
  <c r="L12" i="43"/>
  <c r="K27" i="40"/>
  <c r="K12" i="43"/>
  <c r="M28" i="33"/>
  <c r="M11" i="31"/>
  <c r="J11" i="32"/>
  <c r="K12" i="42"/>
  <c r="M9" i="44"/>
  <c r="H34" i="41"/>
  <c r="F186" i="34"/>
  <c r="F147" i="34"/>
  <c r="F108" i="34"/>
  <c r="F69" i="34"/>
  <c r="F28" i="34"/>
  <c r="J12" i="42"/>
  <c r="K9" i="44"/>
  <c r="J12" i="43"/>
  <c r="J27" i="40"/>
  <c r="H25" i="41"/>
  <c r="K28" i="33"/>
  <c r="K11" i="31"/>
  <c r="I11" i="32"/>
  <c r="E188" i="34"/>
  <c r="E149" i="34"/>
  <c r="E110" i="34"/>
  <c r="E71" i="34"/>
  <c r="E30" i="34"/>
  <c r="E196" i="34"/>
  <c r="E157" i="34"/>
  <c r="E118" i="34"/>
  <c r="E79" i="34"/>
  <c r="E38" i="34"/>
  <c r="E204" i="34"/>
  <c r="E165" i="34"/>
  <c r="E126" i="34"/>
  <c r="E87" i="34"/>
  <c r="E46" i="34"/>
  <c r="E212" i="34"/>
  <c r="E173" i="34"/>
  <c r="E134" i="34"/>
  <c r="E95" i="34"/>
  <c r="E54" i="34"/>
  <c r="P13" i="4"/>
  <c r="S9" i="44"/>
  <c r="H61" i="41"/>
  <c r="M11" i="32"/>
  <c r="S28" i="33"/>
  <c r="N12" i="43"/>
  <c r="F180" i="34"/>
  <c r="F141" i="34"/>
  <c r="F102" i="34"/>
  <c r="F63" i="34"/>
  <c r="F22" i="34"/>
  <c r="F188" i="34"/>
  <c r="F149" i="34"/>
  <c r="F110" i="34"/>
  <c r="F71" i="34"/>
  <c r="F30" i="34"/>
  <c r="F196" i="34"/>
  <c r="F157" i="34"/>
  <c r="F118" i="34"/>
  <c r="F79" i="34"/>
  <c r="F38" i="34"/>
  <c r="AC42" i="49"/>
  <c r="AC42" i="50"/>
  <c r="F204" i="34"/>
  <c r="F165" i="34"/>
  <c r="F126" i="34"/>
  <c r="F87" i="34"/>
  <c r="F46" i="34"/>
  <c r="F212" i="34"/>
  <c r="F173" i="34"/>
  <c r="F134" i="34"/>
  <c r="F95" i="34"/>
  <c r="F54" i="34"/>
  <c r="S45" i="16"/>
  <c r="F81" i="34"/>
  <c r="F159" i="34"/>
  <c r="N27" i="40"/>
  <c r="U148" i="23"/>
  <c r="M148" i="23" s="1"/>
  <c r="E12" i="12" s="1"/>
  <c r="F32" i="34"/>
  <c r="L98" i="34"/>
  <c r="L176" i="34"/>
  <c r="J45" i="38"/>
  <c r="S44" i="38"/>
  <c r="Q7" i="44"/>
  <c r="M10" i="43"/>
  <c r="M10" i="42"/>
  <c r="M25" i="40"/>
  <c r="Q9" i="31"/>
  <c r="H50" i="41"/>
  <c r="Q26" i="33"/>
  <c r="L9" i="32"/>
  <c r="E176" i="34"/>
  <c r="E137" i="34"/>
  <c r="E98" i="34"/>
  <c r="E59" i="34"/>
  <c r="E184" i="34"/>
  <c r="E145" i="34"/>
  <c r="E106" i="34"/>
  <c r="E67" i="34"/>
  <c r="E26" i="34"/>
  <c r="E192" i="34"/>
  <c r="E153" i="34"/>
  <c r="E114" i="34"/>
  <c r="E75" i="34"/>
  <c r="E34" i="34"/>
  <c r="J45" i="35"/>
  <c r="S44" i="35"/>
  <c r="E200" i="34"/>
  <c r="E161" i="34"/>
  <c r="E122" i="34"/>
  <c r="E83" i="34"/>
  <c r="E42" i="34"/>
  <c r="S41" i="50"/>
  <c r="S41" i="49"/>
  <c r="E208" i="34"/>
  <c r="E169" i="34"/>
  <c r="E130" i="34"/>
  <c r="E91" i="34"/>
  <c r="E50" i="34"/>
  <c r="S46" i="16"/>
  <c r="E30" i="22"/>
  <c r="C30" i="22" s="1"/>
  <c r="D14" i="28" s="1"/>
  <c r="E70" i="40"/>
  <c r="P70" i="40" s="1"/>
  <c r="P69" i="40"/>
  <c r="E31" i="28"/>
  <c r="H11" i="32"/>
  <c r="F34" i="34"/>
  <c r="F114" i="34"/>
  <c r="K7" i="36"/>
  <c r="S7" i="36" s="1"/>
  <c r="S6" i="36"/>
  <c r="F10" i="65"/>
  <c r="F2" i="65"/>
  <c r="S6" i="52"/>
  <c r="K7" i="52"/>
  <c r="S7" i="52" s="1"/>
  <c r="L23" i="25"/>
  <c r="J6" i="53"/>
  <c r="S5" i="53"/>
  <c r="K7" i="37"/>
  <c r="S7" i="37" s="1"/>
  <c r="S6" i="49"/>
  <c r="I36" i="47"/>
  <c r="H36" i="47" s="1"/>
  <c r="S6" i="35"/>
  <c r="I58" i="47"/>
  <c r="H58" i="47" s="1"/>
  <c r="H38" i="47"/>
  <c r="S5" i="38"/>
  <c r="J6" i="50"/>
  <c r="K46" i="35" l="1"/>
  <c r="S46" i="35" s="1"/>
  <c r="S45" i="35"/>
  <c r="K46" i="38"/>
  <c r="S46" i="38" s="1"/>
  <c r="S45" i="38"/>
  <c r="D4" i="4"/>
  <c r="B5" i="1"/>
  <c r="K46" i="36"/>
  <c r="S46" i="36" s="1"/>
  <c r="S45" i="36"/>
  <c r="J11" i="42"/>
  <c r="H24" i="41"/>
  <c r="J11" i="43"/>
  <c r="K27" i="33"/>
  <c r="K8" i="44"/>
  <c r="K10" i="31"/>
  <c r="I10" i="32"/>
  <c r="J26" i="40"/>
  <c r="S45" i="37"/>
  <c r="K46" i="37"/>
  <c r="S46" i="37" s="1"/>
  <c r="S44" i="50"/>
  <c r="J45" i="50"/>
  <c r="I11" i="42"/>
  <c r="I26" i="40"/>
  <c r="I8" i="44"/>
  <c r="H15" i="41"/>
  <c r="I27" i="33"/>
  <c r="I11" i="43"/>
  <c r="I10" i="31"/>
  <c r="H10" i="32"/>
  <c r="H31" i="40"/>
  <c r="H136" i="40" s="1"/>
  <c r="O31" i="40"/>
  <c r="O136" i="40" s="1"/>
  <c r="M31" i="40"/>
  <c r="M136" i="40" s="1"/>
  <c r="L31" i="40"/>
  <c r="L136" i="40" s="1"/>
  <c r="K31" i="40"/>
  <c r="K136" i="40" s="1"/>
  <c r="J31" i="40"/>
  <c r="J136" i="40" s="1"/>
  <c r="I31" i="40"/>
  <c r="I136" i="40" s="1"/>
  <c r="N31" i="40"/>
  <c r="N136" i="40" s="1"/>
  <c r="K49" i="14"/>
  <c r="S49" i="14" s="1"/>
  <c r="S48" i="14"/>
  <c r="K46" i="53"/>
  <c r="S46" i="53" s="1"/>
  <c r="S45" i="53"/>
  <c r="I10" i="42"/>
  <c r="H14" i="41"/>
  <c r="I25" i="40"/>
  <c r="I10" i="43"/>
  <c r="I26" i="33"/>
  <c r="I9" i="31"/>
  <c r="H9" i="32"/>
  <c r="I7" i="44"/>
  <c r="L24" i="26"/>
  <c r="H25" i="26"/>
  <c r="L25" i="26" s="1"/>
  <c r="K49" i="13"/>
  <c r="S49" i="13" s="1"/>
  <c r="S48" i="13"/>
  <c r="S8" i="44"/>
  <c r="N11" i="43"/>
  <c r="N11" i="42"/>
  <c r="H60" i="41"/>
  <c r="S10" i="31"/>
  <c r="N26" i="40"/>
  <c r="S27" i="33"/>
  <c r="M10" i="32"/>
  <c r="K46" i="52"/>
  <c r="S46" i="52" s="1"/>
  <c r="S45" i="52"/>
  <c r="U8" i="19"/>
  <c r="L9" i="19"/>
  <c r="U9" i="19" s="1"/>
  <c r="S6" i="50"/>
  <c r="K7" i="50"/>
  <c r="S7" i="50" s="1"/>
  <c r="J48" i="16"/>
  <c r="I47" i="16"/>
  <c r="L56" i="19"/>
  <c r="U56" i="19" s="1"/>
  <c r="U55" i="19"/>
  <c r="K49" i="15"/>
  <c r="S49" i="15" s="1"/>
  <c r="S48" i="15"/>
  <c r="L26" i="40"/>
  <c r="H42" i="41"/>
  <c r="L11" i="42"/>
  <c r="O10" i="31"/>
  <c r="O8" i="44"/>
  <c r="K10" i="32"/>
  <c r="L11" i="43"/>
  <c r="O27" i="33"/>
  <c r="J45" i="49"/>
  <c r="S44" i="49"/>
  <c r="S6" i="53"/>
  <c r="K7" i="53"/>
  <c r="S7" i="53" s="1"/>
  <c r="K25" i="40"/>
  <c r="K10" i="43"/>
  <c r="M9" i="31"/>
  <c r="J9" i="32"/>
  <c r="K10" i="42"/>
  <c r="M26" i="33"/>
  <c r="M7" i="44"/>
  <c r="H32" i="41"/>
  <c r="D42" i="7"/>
  <c r="D43" i="7" s="1"/>
  <c r="D44" i="7" s="1"/>
  <c r="D40" i="7"/>
  <c r="D39" i="7"/>
  <c r="K49" i="17"/>
  <c r="S49" i="17" s="1"/>
  <c r="S48" i="17"/>
  <c r="K8" i="14"/>
  <c r="S8" i="14" s="1"/>
  <c r="S7" i="14"/>
  <c r="K49" i="18"/>
  <c r="S49" i="18" s="1"/>
  <c r="S48" i="18"/>
  <c r="L24" i="24"/>
  <c r="H25" i="24"/>
  <c r="L25" i="24" s="1"/>
  <c r="K46" i="50" l="1"/>
  <c r="S46" i="50" s="1"/>
  <c r="S45" i="50"/>
  <c r="D50" i="7"/>
  <c r="D47" i="7"/>
  <c r="D46" i="7"/>
  <c r="D48" i="7"/>
  <c r="D45" i="7"/>
  <c r="K49" i="16"/>
  <c r="S49" i="16" s="1"/>
  <c r="S48" i="16"/>
  <c r="K46" i="49"/>
  <c r="S46" i="49" s="1"/>
  <c r="S45"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1400-000001000000}">
      <text>
        <r>
          <rPr>
            <sz val="9"/>
            <color indexed="81"/>
            <rFont val="Tahoma"/>
            <family val="2"/>
          </rPr>
          <t>Тип организации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1600-000001000000}">
      <text>
        <r>
          <rPr>
            <sz val="9"/>
            <color indexed="81"/>
            <rFont val="Arial"/>
            <family val="2"/>
          </rPr>
          <t>сюда же для некоторых формул может входить:
- VOTV
- HOTVSNA</t>
        </r>
      </text>
    </comment>
    <comment ref="U2" authorId="0" shapeId="0" xr:uid="{00000000-0006-0000-16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<sst xmlns="http://schemas.openxmlformats.org/spreadsheetml/2006/main" count="14789" uniqueCount="3516">
  <si>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</si>
  <si>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</si>
  <si>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</si>
  <si>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</si>
  <si>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</si>
  <si>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</si>
  <si>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</si>
  <si>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</si>
  <si>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</si>
  <si>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</si>
  <si>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</si>
  <si>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</si>
  <si>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</si>
  <si>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</si>
  <si>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</si>
  <si>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</si>
  <si>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</si>
  <si>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</si>
  <si>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</si>
  <si>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</si>
  <si>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</si>
  <si>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</si>
  <si>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</si>
  <si>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</si>
  <si>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</si>
  <si>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</si>
  <si>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</si>
  <si>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</si>
  <si>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</si>
  <si>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</si>
  <si>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</si>
  <si>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</si>
  <si>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</si>
  <si>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</si>
  <si>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</si>
  <si>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</si>
  <si>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</si>
  <si>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</si>
  <si>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</si>
  <si>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</si>
  <si>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</si>
  <si>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</si>
  <si>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</si>
  <si>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</si>
  <si>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</si>
  <si>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</si>
  <si>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</si>
  <si>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</si>
  <si>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</si>
  <si>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</si>
  <si>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</si>
  <si>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</si>
  <si>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</si>
  <si>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</si>
  <si>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</si>
  <si>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</si>
  <si>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</si>
  <si>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</si>
  <si>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</si>
  <si>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</si>
  <si>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</si>
  <si>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</si>
  <si>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</si>
  <si>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</si>
  <si>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</si>
  <si>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</si>
  <si>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</si>
  <si>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</si>
  <si>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</si>
  <si>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</si>
  <si>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</si>
  <si>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г.Когалым, ул. Прибалтийская 53, 628484</t>
  </si>
  <si>
    <t>Фамилия, имя, отчество руководителя</t>
  </si>
  <si>
    <t>Зубович А.Е.</t>
  </si>
  <si>
    <t>Ответственный за заполнение формы</t>
  </si>
  <si>
    <t>Фамилия, имя, отчество</t>
  </si>
  <si>
    <t>Дашков М.А.</t>
  </si>
  <si>
    <t>Должность</t>
  </si>
  <si>
    <t>Инженер ПТО</t>
  </si>
  <si>
    <t>Контактный телефон</t>
  </si>
  <si>
    <t>8(34667)20063</t>
  </si>
  <si>
    <t>E-mail</t>
  </si>
  <si>
    <t>ptokogalym@mail.ru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</si>
  <si>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</si>
  <si>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</si>
  <si>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</si>
  <si>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</si>
  <si>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</si>
  <si>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</si>
  <si>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</si>
  <si>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</si>
  <si>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</si>
  <si>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</si>
  <si>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</si>
  <si>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</si>
  <si>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</si>
  <si>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</si>
  <si>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</si>
  <si>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</si>
  <si>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</si>
  <si>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</si>
  <si>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</si>
  <si>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</si>
  <si>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2</t>
  </si>
  <si>
    <t>×</t>
  </si>
  <si>
    <t>ter_55</t>
  </si>
  <si>
    <t>28</t>
  </si>
  <si>
    <t>Лангепас</t>
  </si>
  <si>
    <t>71872000</t>
  </si>
  <si>
    <t>ter_56</t>
  </si>
  <si>
    <t>63</t>
  </si>
  <si>
    <t>Покачи</t>
  </si>
  <si>
    <t>71884000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</si>
  <si>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</si>
  <si>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</si>
  <si>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</si>
  <si>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</si>
  <si>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</si>
  <si>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</si>
  <si>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</si>
  <si>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</si>
  <si>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</si>
  <si>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</si>
  <si>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</si>
  <si>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</si>
  <si>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</si>
  <si>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</si>
  <si>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</si>
  <si>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</si>
  <si>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</si>
  <si>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diff_67</t>
  </si>
  <si>
    <t>diff_68</t>
  </si>
  <si>
    <t>Добавить описание территории</t>
  </si>
  <si>
    <t>diff_66</t>
  </si>
  <si>
    <t>4189672</t>
  </si>
  <si>
    <t>diff_69</t>
  </si>
  <si>
    <t>diff_70</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</si>
  <si>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</si>
  <si>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</si>
  <si>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</si>
  <si>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</si>
  <si>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</si>
  <si>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</si>
  <si>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</si>
  <si>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</si>
  <si>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</si>
  <si>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</si>
  <si>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</si>
  <si>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</si>
  <si>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</si>
  <si>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</si>
  <si>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</si>
  <si>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</si>
  <si>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</si>
  <si>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</si>
  <si>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</si>
  <si>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</si>
  <si>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</si>
  <si>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</si>
  <si>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</si>
  <si>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</si>
  <si>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</si>
  <si>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</si>
  <si>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</si>
  <si>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</si>
  <si>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</si>
  <si>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</si>
  <si>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</si>
  <si>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</si>
  <si>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</si>
  <si>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</si>
  <si>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</si>
  <si>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</si>
  <si>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</si>
  <si>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</si>
  <si>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</si>
  <si>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</si>
  <si>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</si>
  <si>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</si>
  <si>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</si>
  <si>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</si>
  <si>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</si>
  <si>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</si>
  <si>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</si>
  <si>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</si>
  <si>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</si>
  <si>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</si>
  <si>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</si>
  <si>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</si>
  <si>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</si>
  <si>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</si>
  <si>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</si>
  <si>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</si>
  <si>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</si>
  <si>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</si>
  <si>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</si>
  <si>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</si>
  <si>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</si>
  <si>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</si>
  <si>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</si>
  <si>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</si>
  <si>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</si>
  <si>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</si>
  <si>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</si>
  <si>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</si>
  <si>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</si>
  <si>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</si>
  <si>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</si>
  <si>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</si>
  <si>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</si>
  <si>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</si>
  <si>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</si>
  <si>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</si>
  <si>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</si>
  <si>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</si>
  <si>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</si>
  <si>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</si>
  <si>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</si>
  <si>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</si>
  <si>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</si>
  <si>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</si>
  <si>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</si>
  <si>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</si>
  <si>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</si>
  <si>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</si>
  <si>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</si>
  <si>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</si>
  <si>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</si>
  <si>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</si>
  <si>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</si>
  <si>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</si>
  <si>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</si>
  <si>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</si>
  <si>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</si>
  <si>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</si>
  <si>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</si>
  <si>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</si>
  <si>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</si>
  <si>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</si>
  <si>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</si>
  <si>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</si>
  <si>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</si>
  <si>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</si>
  <si>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</si>
  <si>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</si>
  <si>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</si>
  <si>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</si>
  <si>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</si>
  <si>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</si>
  <si>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</si>
  <si>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</si>
  <si>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</si>
  <si>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</si>
  <si>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</si>
  <si>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</si>
  <si>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</si>
  <si>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</si>
  <si>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</si>
  <si>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</si>
  <si>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</si>
  <si>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</si>
  <si>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</si>
  <si>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</si>
  <si>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</si>
  <si>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</si>
  <si>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</si>
  <si>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</si>
  <si>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</si>
  <si>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</si>
  <si>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</si>
  <si>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</si>
  <si>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</si>
  <si>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</si>
  <si>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</si>
  <si>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</si>
  <si>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</si>
  <si>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</si>
  <si>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</si>
  <si>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</si>
  <si>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</si>
  <si>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</si>
  <si>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</si>
  <si>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</si>
  <si>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</si>
  <si>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</si>
  <si>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</si>
  <si>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</si>
  <si>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</si>
  <si>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</si>
  <si>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</si>
  <si>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</si>
  <si>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</si>
  <si>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</si>
  <si>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</si>
  <si>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</si>
  <si>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</si>
  <si>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</si>
  <si>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</si>
  <si>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</si>
  <si>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</si>
  <si>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</si>
  <si>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</si>
  <si>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</si>
  <si>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</si>
  <si>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</si>
  <si>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</si>
  <si>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</si>
  <si>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</si>
  <si>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</si>
  <si>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</si>
  <si>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</si>
  <si>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</si>
  <si>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</si>
  <si>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</si>
  <si>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</si>
  <si>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</si>
  <si>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</si>
  <si>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</si>
  <si>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</si>
  <si>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</si>
  <si>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</si>
  <si>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</si>
  <si>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</si>
  <si>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</si>
  <si>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</si>
  <si>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</si>
  <si>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</si>
  <si>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</si>
  <si>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</si>
  <si>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</si>
  <si>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</si>
  <si>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</si>
  <si>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</si>
  <si>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</si>
  <si>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</si>
  <si>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</si>
  <si>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</si>
  <si>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</si>
  <si>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</si>
  <si>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</si>
  <si>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</si>
  <si>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</si>
  <si>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</si>
  <si>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</si>
  <si>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</si>
  <si>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</si>
  <si>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</si>
  <si>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</si>
  <si>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</si>
  <si>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</si>
  <si>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</si>
  <si>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</si>
  <si>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</si>
  <si>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</si>
  <si>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</si>
  <si>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</si>
  <si>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</si>
  <si>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</si>
  <si>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</si>
  <si>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</si>
  <si>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</si>
  <si>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</si>
  <si>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</si>
  <si>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</si>
  <si>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</si>
  <si>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</si>
  <si>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</si>
  <si>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</si>
  <si>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</si>
  <si>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</si>
  <si>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</si>
  <si>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</si>
  <si>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</si>
  <si>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</si>
  <si>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</si>
  <si>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</si>
  <si>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</si>
  <si>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</si>
  <si>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</si>
  <si>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</si>
  <si>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</si>
  <si>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</si>
  <si>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</si>
  <si>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</si>
  <si>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</si>
  <si>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</si>
  <si>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</si>
  <si>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</si>
  <si>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</si>
  <si>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</si>
  <si>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</si>
  <si>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</si>
  <si>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</si>
  <si>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</si>
  <si>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</si>
  <si>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</si>
  <si>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</si>
  <si>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</si>
  <si>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</si>
  <si>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</si>
  <si>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</si>
  <si>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</si>
  <si>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</si>
  <si>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</si>
  <si>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</si>
  <si>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</si>
  <si>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</si>
  <si>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</si>
  <si>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</si>
  <si>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</si>
  <si>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</si>
  <si>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</si>
  <si>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</si>
  <si>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</si>
  <si>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</si>
  <si>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</si>
  <si>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</si>
  <si>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</si>
  <si>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</si>
  <si>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</si>
  <si>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</si>
  <si>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</si>
  <si>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</si>
  <si>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</si>
  <si>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</si>
  <si>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</si>
  <si>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</si>
  <si>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</si>
  <si>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</si>
  <si>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</si>
  <si>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</si>
  <si>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</si>
  <si>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</si>
  <si>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</si>
  <si>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</si>
  <si>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</si>
  <si>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</si>
  <si>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</si>
  <si>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</si>
  <si>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</si>
  <si>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</si>
  <si>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</si>
  <si>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</si>
  <si>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</si>
  <si>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</si>
  <si>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</si>
  <si>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</si>
  <si>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</si>
  <si>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</si>
  <si>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</si>
  <si>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</si>
  <si>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</si>
  <si>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</si>
  <si>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</si>
  <si>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</si>
  <si>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</si>
  <si>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</si>
  <si>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</si>
  <si>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</si>
  <si>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</si>
  <si>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</si>
  <si>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</si>
  <si>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</si>
  <si>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</si>
  <si>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</si>
  <si>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</si>
  <si>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</si>
  <si>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</si>
  <si>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</si>
  <si>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</si>
  <si>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</si>
  <si>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</si>
  <si>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</si>
  <si>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</si>
  <si>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</si>
  <si>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</si>
  <si>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</si>
  <si>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</si>
  <si>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</si>
  <si>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</si>
  <si>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</si>
  <si>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</si>
  <si>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</si>
  <si>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</si>
  <si>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</si>
  <si>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</si>
  <si>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</si>
  <si>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</si>
  <si>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</si>
  <si>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</si>
  <si>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</si>
  <si>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</si>
  <si>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</si>
  <si>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</si>
  <si>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</si>
  <si>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</si>
  <si>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</si>
  <si>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</si>
  <si>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</si>
  <si>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</si>
  <si>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</si>
  <si>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</si>
  <si>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</si>
  <si>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</si>
  <si>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</si>
  <si>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</si>
  <si>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</si>
  <si>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</si>
  <si>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</si>
  <si>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</si>
  <si>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</si>
  <si>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</si>
  <si>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</si>
  <si>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</si>
  <si>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</si>
  <si>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</si>
  <si>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</si>
  <si>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</si>
  <si>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</si>
  <si>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</si>
  <si>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</si>
  <si>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</si>
  <si>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</si>
  <si>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</si>
  <si>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</si>
  <si>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</si>
  <si>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</si>
  <si>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</si>
  <si>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</si>
  <si>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</si>
  <si>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</si>
  <si>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</si>
  <si>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</si>
  <si>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</si>
  <si>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</si>
  <si>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</si>
  <si>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</si>
  <si>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</si>
  <si>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</si>
  <si>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</si>
  <si>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</si>
  <si>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</si>
  <si>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</si>
  <si>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</si>
  <si>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</si>
  <si>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</si>
  <si>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</si>
  <si>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</si>
  <si>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</si>
  <si>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</si>
  <si>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</si>
  <si>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</si>
  <si>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</si>
  <si>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</si>
  <si>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</si>
  <si>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</si>
  <si>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</si>
  <si>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</si>
  <si>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</si>
  <si>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</si>
  <si>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</si>
  <si>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</si>
  <si>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</si>
  <si>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</si>
  <si>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</si>
  <si>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</si>
  <si>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</si>
  <si>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</si>
  <si>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</si>
  <si>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</si>
  <si>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</si>
  <si>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</si>
  <si>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</si>
  <si>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</si>
  <si>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</si>
  <si>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</si>
  <si>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</si>
  <si>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</si>
  <si>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</si>
  <si>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</si>
  <si>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</si>
  <si>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</si>
  <si>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</si>
  <si>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</si>
  <si>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</si>
  <si>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</si>
  <si>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</si>
  <si>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</si>
  <si>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</si>
  <si>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</si>
  <si>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</si>
  <si>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</si>
  <si>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</si>
  <si>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</si>
  <si>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</si>
  <si>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</si>
  <si>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</si>
  <si>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</si>
  <si>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</si>
  <si>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</si>
  <si>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</si>
  <si>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</si>
  <si>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</si>
  <si>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</si>
  <si>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</si>
  <si>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</si>
  <si>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</si>
  <si>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</si>
  <si>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</si>
  <si>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</si>
  <si>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</si>
  <si>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</si>
  <si>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</si>
  <si>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</si>
  <si>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</si>
  <si>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</si>
  <si>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</si>
  <si>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</si>
  <si>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</si>
  <si>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</si>
  <si>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</si>
  <si>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</si>
  <si>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</si>
  <si>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</si>
  <si>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</si>
  <si>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</si>
  <si>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</si>
  <si>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</si>
  <si>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</si>
  <si>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</si>
  <si>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</si>
  <si>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</si>
  <si>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</si>
  <si>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</si>
  <si>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</si>
  <si>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</si>
  <si>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</si>
  <si>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</si>
  <si>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</si>
  <si>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</si>
  <si>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</si>
  <si>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</si>
  <si>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</si>
  <si>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</si>
  <si>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</si>
  <si>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</si>
  <si>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</si>
  <si>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</si>
  <si>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</si>
  <si>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</si>
  <si>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</si>
  <si>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</si>
  <si>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</si>
  <si>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</si>
  <si>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</si>
  <si>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</si>
  <si>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</si>
  <si>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</si>
  <si>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</si>
  <si>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</si>
  <si>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</si>
  <si>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</si>
  <si>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</si>
  <si>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</si>
  <si>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</si>
  <si>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</si>
  <si>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</si>
  <si>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</si>
  <si>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</si>
  <si>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</si>
  <si>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</si>
  <si>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</si>
  <si>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</si>
  <si>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</si>
  <si>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</si>
  <si>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</si>
  <si>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</si>
  <si>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</si>
  <si>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</si>
  <si>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</si>
  <si>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</si>
  <si>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</si>
  <si>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</si>
  <si>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</si>
  <si>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</si>
  <si>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</si>
  <si>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</si>
  <si>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</si>
  <si>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</si>
  <si>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</si>
  <si>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</si>
  <si>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</si>
  <si>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</si>
  <si>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</si>
  <si>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</si>
  <si>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</si>
  <si>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</si>
  <si>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</si>
  <si>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</si>
  <si>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</si>
  <si>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</si>
  <si>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</si>
  <si>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</si>
  <si>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</si>
  <si>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</si>
  <si>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</si>
  <si>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</si>
  <si>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</si>
  <si>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</si>
  <si>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</si>
  <si>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</si>
  <si>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</si>
  <si>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</si>
  <si>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</si>
  <si>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</si>
  <si>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</si>
  <si>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</si>
  <si>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</si>
  <si>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</si>
  <si>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</si>
  <si>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</si>
  <si>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</si>
  <si>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</si>
  <si>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</si>
  <si>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</si>
  <si>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</si>
  <si>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</si>
  <si>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</si>
  <si>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</si>
  <si>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</si>
  <si>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</si>
  <si>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</si>
  <si>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</si>
  <si>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</si>
  <si>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</si>
  <si>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</si>
  <si>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</si>
  <si>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</si>
  <si>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</si>
  <si>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</si>
  <si>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</si>
  <si>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</si>
  <si>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</si>
  <si>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</si>
  <si>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</si>
  <si>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</si>
  <si>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</si>
  <si>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</si>
  <si>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</si>
  <si>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</si>
  <si>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</si>
  <si>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</si>
  <si>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</si>
  <si>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</si>
  <si>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</si>
  <si>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</si>
  <si>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</si>
  <si>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</si>
  <si>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</si>
  <si>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</si>
  <si>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</si>
  <si>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</si>
  <si>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</si>
  <si>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</si>
  <si>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</si>
  <si>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</si>
  <si>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</si>
  <si>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</si>
  <si>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</si>
  <si>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</si>
  <si>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</si>
  <si>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</si>
  <si>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</si>
  <si>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</si>
  <si>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</si>
  <si>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</si>
  <si>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</si>
  <si>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</si>
  <si>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</si>
  <si>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</si>
  <si>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</si>
  <si>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</si>
  <si>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</si>
  <si>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</si>
  <si>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</si>
  <si>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</si>
  <si>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</si>
  <si>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</si>
  <si>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</si>
  <si>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</si>
  <si>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</si>
  <si>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</si>
  <si>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</si>
  <si>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</si>
  <si>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</si>
  <si>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</si>
  <si>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</si>
  <si>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</si>
  <si>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</si>
  <si>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</si>
  <si>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</si>
  <si>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</si>
  <si>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</si>
  <si>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</si>
  <si>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</si>
  <si>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</si>
  <si>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</si>
  <si>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</si>
  <si>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</si>
  <si>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</si>
  <si>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</si>
  <si>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</si>
  <si>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</si>
  <si>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</si>
  <si>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</si>
  <si>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</si>
  <si>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</si>
  <si>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</si>
  <si>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</si>
  <si>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</si>
  <si>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</si>
  <si>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</si>
  <si>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</si>
  <si>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</si>
  <si>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</si>
  <si>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</si>
  <si>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</si>
  <si>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</si>
  <si>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</si>
  <si>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</si>
  <si>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</si>
  <si>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</si>
  <si>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</si>
  <si>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</si>
  <si>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</si>
  <si>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</si>
  <si>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</si>
  <si>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</si>
  <si>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</si>
  <si>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</si>
  <si>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</si>
  <si>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</si>
  <si>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</si>
  <si>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</si>
  <si>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</si>
  <si>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</si>
  <si>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</si>
  <si>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</si>
  <si>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</si>
  <si>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</si>
  <si>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</si>
  <si>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</si>
  <si>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</si>
  <si>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</si>
  <si>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</si>
  <si>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</si>
  <si>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</si>
  <si>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</si>
  <si>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</si>
  <si>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</si>
  <si>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</si>
  <si>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</si>
  <si>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</si>
  <si>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</si>
  <si>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</si>
  <si>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</si>
  <si>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</si>
  <si>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</si>
  <si>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</si>
  <si>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</si>
  <si>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</si>
  <si>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</si>
  <si>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</si>
  <si>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</si>
  <si>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</si>
  <si>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</si>
  <si>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</si>
  <si>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</si>
  <si>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</si>
  <si>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</si>
  <si>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</si>
  <si>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</si>
  <si>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</si>
  <si>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</si>
  <si>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</si>
  <si>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</si>
  <si>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</si>
  <si>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</si>
  <si>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</si>
  <si>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</si>
  <si>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</si>
  <si>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</si>
  <si>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</si>
  <si>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</si>
  <si>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</si>
  <si>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</si>
  <si>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</si>
  <si>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</si>
  <si>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</si>
  <si>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</si>
  <si>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</si>
  <si>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</si>
  <si>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</si>
  <si>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</si>
  <si>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</si>
  <si>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</si>
  <si>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</si>
  <si>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</si>
  <si>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</si>
  <si>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</si>
  <si>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</si>
  <si>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</si>
  <si>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</si>
  <si>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</si>
  <si>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</si>
  <si>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</si>
  <si>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</si>
  <si>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</si>
  <si>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</si>
  <si>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</si>
  <si>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</si>
  <si>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</si>
  <si>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</si>
  <si>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</si>
  <si>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</si>
  <si>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</si>
  <si>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</si>
  <si>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</si>
  <si>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</si>
  <si>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</si>
  <si>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</si>
  <si>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</si>
  <si>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</si>
  <si>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</si>
  <si>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</si>
  <si>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</si>
  <si>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</si>
  <si>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</si>
  <si>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</si>
  <si>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</si>
  <si>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</si>
  <si>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</si>
  <si>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</si>
  <si>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</si>
  <si>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</si>
  <si>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</si>
  <si>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</si>
  <si>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</si>
  <si>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</si>
  <si>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</si>
  <si>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</si>
  <si>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</si>
  <si>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</si>
  <si>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</si>
  <si>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</si>
  <si>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</si>
  <si>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</si>
  <si>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</si>
  <si>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</si>
  <si>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</si>
  <si>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</si>
  <si>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</si>
  <si>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</si>
  <si>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</si>
  <si>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</si>
  <si>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</si>
  <si>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</si>
  <si>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</si>
  <si>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</si>
  <si>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</si>
  <si>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</si>
  <si>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</si>
  <si>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</si>
  <si>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</si>
  <si>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</si>
  <si>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</si>
  <si>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</si>
  <si>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</si>
  <si>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</si>
  <si>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</si>
  <si>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</si>
  <si>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</si>
  <si>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</si>
  <si>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</si>
  <si>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</si>
  <si>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</si>
  <si>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</si>
  <si>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</si>
  <si>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</si>
  <si>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</si>
  <si>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</si>
  <si>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</si>
  <si>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</si>
  <si>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</si>
  <si>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</si>
  <si>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</si>
  <si>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</si>
  <si>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</si>
  <si>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</si>
  <si>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</si>
  <si>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</si>
  <si>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</si>
  <si>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</si>
  <si>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</si>
  <si>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</si>
  <si>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</si>
  <si>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</si>
  <si>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</si>
  <si>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</si>
  <si>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</si>
  <si>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</si>
  <si>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</si>
  <si>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</si>
  <si>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</si>
  <si>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</si>
  <si>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</si>
  <si>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</si>
  <si>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</si>
  <si>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</si>
  <si>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</si>
  <si>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</si>
  <si>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</si>
  <si>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</si>
  <si>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</si>
  <si>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</si>
  <si>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</si>
  <si>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</si>
  <si>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</si>
  <si>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</si>
  <si>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</si>
  <si>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</si>
  <si>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</si>
  <si>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</si>
  <si>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</si>
  <si>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</si>
  <si>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</si>
  <si>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</si>
  <si>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</si>
  <si>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</si>
  <si>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</si>
  <si>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</si>
  <si>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</si>
  <si>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</si>
  <si>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</si>
  <si>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</si>
  <si>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</si>
  <si>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</si>
  <si>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</si>
  <si>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</si>
  <si>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</si>
  <si>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</si>
  <si>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</si>
  <si>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</si>
  <si>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</si>
  <si>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</si>
  <si>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</si>
  <si>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</si>
  <si>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</si>
  <si>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</si>
  <si>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</si>
  <si>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</si>
  <si>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</si>
  <si>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</si>
  <si>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</si>
  <si>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</si>
  <si>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</si>
  <si>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</si>
  <si>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</si>
  <si>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</si>
  <si>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</si>
  <si>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</si>
  <si>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</si>
  <si>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</si>
  <si>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</si>
  <si>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</si>
  <si>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</si>
  <si>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</si>
  <si>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</si>
  <si>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</si>
  <si>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</si>
  <si>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</si>
  <si>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</si>
  <si>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</si>
  <si>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</si>
  <si>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</si>
  <si>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</si>
  <si>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</si>
  <si>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</si>
  <si>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</si>
  <si>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</si>
  <si>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</si>
  <si>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</si>
  <si>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</si>
  <si>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</si>
  <si>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</si>
  <si>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</si>
  <si>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</si>
  <si>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</si>
  <si>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</si>
  <si>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</si>
  <si>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</si>
  <si>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</si>
  <si>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</si>
  <si>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</si>
  <si>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</si>
  <si>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</si>
  <si>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</si>
  <si>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</si>
  <si>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</si>
  <si>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</si>
  <si>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</si>
  <si>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</si>
  <si>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</si>
  <si>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</si>
  <si>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</si>
  <si>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</si>
  <si>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</si>
  <si>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</si>
  <si>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</si>
  <si>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</si>
  <si>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</si>
  <si>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</si>
  <si>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</si>
  <si>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</si>
  <si>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</si>
  <si>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</si>
  <si>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</si>
  <si>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</si>
  <si>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</si>
  <si>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</si>
  <si>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</si>
  <si>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</si>
  <si>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</si>
  <si>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</si>
  <si>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</si>
  <si>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</si>
  <si>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</si>
  <si>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</si>
  <si>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</si>
  <si>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</si>
  <si>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</si>
  <si>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</si>
  <si>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</si>
  <si>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</si>
  <si>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</si>
  <si>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</si>
  <si>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</si>
  <si>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</si>
  <si>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</si>
  <si>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</si>
  <si>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</si>
  <si>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</si>
  <si>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</si>
  <si>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</si>
  <si>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</si>
  <si>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</si>
  <si>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</si>
  <si>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</si>
  <si>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</si>
  <si>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</si>
  <si>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</si>
  <si>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</si>
  <si>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</si>
  <si>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</si>
  <si>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</si>
  <si>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</si>
  <si>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</si>
  <si>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</si>
  <si>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</si>
  <si>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</si>
  <si>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</si>
  <si>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</si>
  <si>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</si>
  <si>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</si>
  <si>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</si>
  <si>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</si>
  <si>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</si>
  <si>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</si>
  <si>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</si>
  <si>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</si>
  <si>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</si>
  <si>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</si>
  <si>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</si>
  <si>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</si>
  <si>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</si>
  <si>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</si>
  <si>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</si>
  <si>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</si>
  <si>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</si>
  <si>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</si>
  <si>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</si>
  <si>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</si>
  <si>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</si>
  <si>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</si>
  <si>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</si>
  <si>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</si>
  <si>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</si>
  <si>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</si>
  <si>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</si>
  <si>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</si>
  <si>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</si>
  <si>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</si>
  <si>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</si>
  <si>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</si>
  <si>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</si>
  <si>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</si>
  <si>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</si>
  <si>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</si>
  <si>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</si>
  <si>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</si>
  <si>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</si>
  <si>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</si>
  <si>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</si>
  <si>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</si>
  <si>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</si>
  <si>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</si>
  <si>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</si>
  <si>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</si>
  <si>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</si>
  <si>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</si>
  <si>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</si>
  <si>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</si>
  <si>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</si>
  <si>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</si>
  <si>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</si>
  <si>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</si>
  <si>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</si>
  <si>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</si>
  <si>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</si>
  <si>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</si>
  <si>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</si>
  <si>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</si>
  <si>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</si>
  <si>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</si>
  <si>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</si>
  <si>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</si>
  <si>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</si>
  <si>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</si>
  <si>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</si>
  <si>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</si>
  <si>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</si>
  <si>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</si>
  <si>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</si>
  <si>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</si>
  <si>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</si>
  <si>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</si>
  <si>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</si>
  <si>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</si>
  <si>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</si>
  <si>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</si>
  <si>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</si>
  <si>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</si>
  <si>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</si>
  <si>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</si>
  <si>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</si>
  <si>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</si>
  <si>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</si>
  <si>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</si>
  <si>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</si>
  <si>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</si>
  <si>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</si>
  <si>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</si>
  <si>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</si>
  <si>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</si>
  <si>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</si>
  <si>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</si>
  <si>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</si>
  <si>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</si>
  <si>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</si>
  <si>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</si>
  <si>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</si>
  <si>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</si>
  <si>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</si>
  <si>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</si>
  <si>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</si>
  <si>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</si>
  <si>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</si>
  <si>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</si>
  <si>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</si>
  <si>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</si>
  <si>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</si>
  <si>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</si>
  <si>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</si>
  <si>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</si>
  <si>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</si>
  <si>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</si>
  <si>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</si>
  <si>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</si>
  <si>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</si>
  <si>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</si>
  <si>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</si>
  <si>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</si>
  <si>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</si>
  <si>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</si>
  <si>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</si>
  <si>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</si>
  <si>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</si>
  <si>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</si>
  <si>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</si>
  <si>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</si>
  <si>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</si>
  <si>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</si>
  <si>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</si>
  <si>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</si>
  <si>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</si>
  <si>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</si>
  <si>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</si>
  <si>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</si>
  <si>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</si>
  <si>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</si>
  <si>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</si>
  <si>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</si>
  <si>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</si>
  <si>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</si>
  <si>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</si>
  <si>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</si>
  <si>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</si>
  <si>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</si>
  <si>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</si>
  <si>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</si>
  <si>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</si>
  <si>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</si>
  <si>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</si>
  <si>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</si>
  <si>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</si>
  <si>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</si>
  <si>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</si>
  <si>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</si>
  <si>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</si>
  <si>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</si>
  <si>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</si>
  <si>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</si>
  <si>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</si>
  <si>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</si>
  <si>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</si>
  <si>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</si>
  <si>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</si>
  <si>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</si>
  <si>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</si>
  <si>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</si>
  <si>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</si>
  <si>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</si>
  <si>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</si>
  <si>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</si>
  <si>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</si>
  <si>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</si>
  <si>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</si>
  <si>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</si>
  <si>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</si>
  <si>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</si>
  <si>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</si>
  <si>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</si>
  <si>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</si>
  <si>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</si>
  <si>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</si>
  <si>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</si>
  <si>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</si>
  <si>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</si>
  <si>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</si>
  <si>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</si>
  <si>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</si>
  <si>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</si>
  <si>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</si>
  <si>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</si>
  <si>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</si>
  <si>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</si>
  <si>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</si>
  <si>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</si>
  <si>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</si>
  <si>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</si>
  <si>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</si>
  <si>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</si>
  <si>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</si>
  <si>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</si>
  <si>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</si>
  <si>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</si>
  <si>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</si>
  <si>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</si>
  <si>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</si>
  <si>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</si>
  <si>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</si>
  <si>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</si>
  <si>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</si>
  <si>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</si>
  <si>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</si>
  <si>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</si>
  <si>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</si>
  <si>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</si>
  <si>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</si>
  <si>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</si>
  <si>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</si>
  <si>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</si>
  <si>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</si>
  <si>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</si>
  <si>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</si>
  <si>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</si>
  <si>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</si>
  <si>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</si>
  <si>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</si>
  <si>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</si>
  <si>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</si>
  <si>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</si>
  <si>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</si>
  <si>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</si>
  <si>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</si>
  <si>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</si>
  <si>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</si>
  <si>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</si>
  <si>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</si>
  <si>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</si>
  <si>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</si>
  <si>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</si>
  <si>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</si>
  <si>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</si>
  <si>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</si>
  <si>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</si>
  <si>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</si>
  <si>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</si>
  <si>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</si>
  <si>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</si>
  <si>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</si>
  <si>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</si>
  <si>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</si>
  <si>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</si>
  <si>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</si>
  <si>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</si>
  <si>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</si>
  <si>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</si>
  <si>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</si>
  <si>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</si>
  <si>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</si>
  <si>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</si>
  <si>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</si>
  <si>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</si>
  <si>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</si>
  <si>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</si>
  <si>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</si>
  <si>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</si>
  <si>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</si>
  <si>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</si>
  <si>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</si>
  <si>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</si>
  <si>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</si>
  <si>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</si>
  <si>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</si>
  <si>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</si>
  <si>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</si>
  <si>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</si>
  <si>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</si>
  <si>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</si>
  <si>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</si>
  <si>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</si>
  <si>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</si>
  <si>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</si>
  <si>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</si>
  <si>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</si>
  <si>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</si>
  <si>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</si>
  <si>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</si>
  <si>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</si>
  <si>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</si>
  <si>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</si>
  <si>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</si>
  <si>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</si>
  <si>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</si>
  <si>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</si>
  <si>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</si>
  <si>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</si>
  <si>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</si>
  <si>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</si>
  <si>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</si>
  <si>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</si>
  <si>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</si>
  <si>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</si>
  <si>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</si>
  <si>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</si>
  <si>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</si>
  <si>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</si>
  <si>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</si>
  <si>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</si>
  <si>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</si>
  <si>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</si>
  <si>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</si>
  <si>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</si>
  <si>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</si>
  <si>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</si>
  <si>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</si>
  <si>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</si>
  <si>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</si>
  <si>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</si>
  <si>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</si>
  <si>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</si>
  <si>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</si>
  <si>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</si>
  <si>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</si>
  <si>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</si>
  <si>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</si>
  <si>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</si>
  <si>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</si>
  <si>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</si>
  <si>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</si>
  <si>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</si>
  <si>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</si>
  <si>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</si>
  <si>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</si>
  <si>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</si>
  <si>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</si>
  <si>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</si>
  <si>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</si>
  <si>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</si>
  <si>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</si>
  <si>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</si>
  <si>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</si>
  <si>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</si>
  <si>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</si>
  <si>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</si>
  <si>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</si>
  <si>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</si>
  <si>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</si>
  <si>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</si>
  <si>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</si>
  <si>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</si>
  <si>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</si>
  <si>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</si>
  <si>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</si>
  <si>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</si>
  <si>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</si>
  <si>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</si>
  <si>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</si>
  <si>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</si>
  <si>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</si>
  <si>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</si>
  <si>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</si>
  <si>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</si>
  <si>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</si>
  <si>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</si>
  <si>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</si>
  <si>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</si>
  <si>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</si>
  <si>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</si>
  <si>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</si>
  <si>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</si>
  <si>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</si>
  <si>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</si>
  <si>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</si>
  <si>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</si>
  <si>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</si>
  <si>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</si>
  <si>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</si>
  <si>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</si>
  <si>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</si>
  <si>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</si>
  <si>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</si>
  <si>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</si>
  <si>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</si>
  <si>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</si>
  <si>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</si>
  <si>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</si>
  <si>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</si>
  <si>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</si>
  <si>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</si>
  <si>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</si>
  <si>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</si>
  <si>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</si>
  <si>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</si>
  <si>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</si>
  <si>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</si>
  <si>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</si>
  <si>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</si>
  <si>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</si>
  <si>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</si>
  <si>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</si>
  <si>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</si>
  <si>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</si>
  <si>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</si>
  <si>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</si>
  <si>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</si>
  <si>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</si>
  <si>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</si>
  <si>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</si>
  <si>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</si>
  <si>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</si>
  <si>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</si>
  <si>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</si>
  <si>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</si>
  <si>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</si>
  <si>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</si>
  <si>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</si>
  <si>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</si>
  <si>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</si>
  <si>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</si>
  <si>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</si>
  <si>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</si>
  <si>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</si>
  <si>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</si>
  <si>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</si>
  <si>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</si>
  <si>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</si>
  <si>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</si>
  <si>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</si>
  <si>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</si>
  <si>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</si>
  <si>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</si>
  <si>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</si>
  <si>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</si>
  <si>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</si>
  <si>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</si>
  <si>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</si>
  <si>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</si>
  <si>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</si>
  <si>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</si>
  <si>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</si>
  <si>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</si>
  <si>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</si>
  <si>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</si>
  <si>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</si>
  <si>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</si>
  <si>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</si>
  <si>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</si>
  <si>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</si>
  <si>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</si>
  <si>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</si>
  <si>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</si>
  <si>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</si>
  <si>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</si>
  <si>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</si>
  <si>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</si>
  <si>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</si>
  <si>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</si>
  <si>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</si>
  <si>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</si>
  <si>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</si>
  <si>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</si>
  <si>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</si>
  <si>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</si>
  <si>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</si>
  <si>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</si>
  <si>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</si>
  <si>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</si>
  <si>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</si>
  <si>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</si>
  <si>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</si>
  <si>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</si>
  <si>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</si>
  <si>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</si>
  <si>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</si>
  <si>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</si>
  <si>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</si>
  <si>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Наличие свободной мощности (резерва мощности) на соответствующих объектах централизованных систем холодного водоснабжения в течении одного квартала</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</si>
  <si>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</si>
  <si>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</si>
  <si>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</si>
  <si>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</si>
  <si>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</si>
  <si>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</si>
  <si>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</si>
  <si>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</si>
  <si>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</si>
  <si>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</si>
  <si>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</si>
  <si>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</si>
  <si>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</si>
  <si>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</si>
  <si>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</si>
  <si>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</si>
  <si>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</si>
  <si>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</si>
  <si>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</si>
  <si>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</si>
  <si>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</si>
  <si>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</si>
  <si>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</si>
  <si>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</si>
  <si>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</si>
  <si>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</si>
  <si>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</si>
  <si>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</si>
  <si>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</si>
  <si>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</si>
  <si>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</si>
  <si>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</si>
  <si>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</si>
  <si>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</si>
  <si>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</si>
  <si>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</si>
  <si>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</si>
  <si>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</si>
  <si>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</si>
  <si>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</si>
  <si>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</si>
  <si>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</si>
  <si>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</si>
  <si>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</si>
  <si>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</si>
  <si>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</si>
  <si>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</si>
  <si>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</si>
  <si>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</si>
  <si>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</si>
  <si>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</si>
  <si>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</si>
  <si>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</si>
  <si>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</si>
  <si>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</si>
  <si>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</si>
  <si>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</si>
  <si>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</si>
  <si>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</si>
  <si>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</si>
  <si>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</si>
  <si>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</si>
  <si>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</si>
  <si>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</si>
  <si>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</si>
  <si>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</si>
  <si>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</si>
  <si>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</si>
  <si>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</si>
  <si>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</si>
  <si>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</si>
  <si>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</si>
  <si>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</si>
  <si>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</si>
  <si>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</si>
  <si>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</si>
  <si>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</si>
  <si>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</si>
  <si>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</si>
  <si>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</si>
  <si>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</si>
  <si>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</si>
  <si>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</si>
  <si>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</si>
  <si>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</si>
  <si>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</si>
  <si>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</si>
  <si>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</si>
  <si>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</si>
  <si>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</si>
  <si>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</si>
  <si>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</si>
  <si>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</si>
  <si>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</si>
  <si>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</si>
  <si>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</si>
  <si>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</si>
  <si>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</si>
  <si>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</si>
  <si>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</si>
  <si>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</si>
  <si>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</si>
  <si>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</si>
  <si>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</si>
  <si>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</si>
  <si>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</si>
  <si>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</si>
  <si>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</si>
  <si>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</si>
  <si>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</si>
  <si>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</si>
  <si>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</si>
  <si>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</si>
  <si>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</si>
  <si>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</si>
  <si>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</si>
  <si>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</si>
  <si>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</si>
  <si>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</si>
  <si>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</si>
  <si>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</si>
  <si>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</si>
  <si>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</si>
  <si>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</si>
  <si>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</si>
  <si>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</si>
  <si>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</si>
  <si>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</si>
  <si>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</si>
  <si>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</si>
  <si>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</si>
  <si>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</si>
  <si>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</si>
  <si>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</si>
  <si>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</si>
  <si>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</si>
  <si>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</si>
  <si>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</si>
  <si>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</si>
  <si>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</si>
  <si>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</si>
  <si>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</si>
  <si>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</si>
  <si>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</si>
  <si>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</si>
  <si>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</si>
  <si>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</si>
  <si>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</si>
  <si>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</si>
  <si>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</si>
  <si>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</si>
  <si>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</si>
  <si>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</si>
  <si>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</si>
  <si>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</si>
  <si>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</si>
  <si>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</si>
  <si>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</si>
  <si>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</si>
  <si>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</si>
  <si>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</si>
  <si>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</si>
  <si>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</si>
  <si>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</si>
  <si>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</si>
  <si>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</si>
  <si>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</si>
  <si>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</si>
  <si>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</si>
  <si>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</si>
  <si>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</si>
  <si>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</si>
  <si>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</si>
  <si>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</si>
  <si>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</si>
  <si>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</si>
  <si>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</si>
  <si>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</si>
  <si>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</si>
  <si>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</si>
  <si>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</si>
  <si>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</si>
  <si>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</si>
  <si>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</si>
  <si>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</si>
  <si>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</si>
  <si>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</si>
  <si>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</si>
  <si>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</si>
  <si>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</si>
  <si>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</si>
  <si>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</si>
  <si>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</si>
  <si>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</si>
  <si>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</si>
  <si>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</si>
  <si>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</si>
  <si>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</si>
  <si>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</si>
  <si>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</si>
  <si>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</si>
  <si>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</si>
  <si>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</si>
  <si>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</si>
  <si>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</si>
  <si>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</si>
  <si>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</si>
  <si>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</si>
  <si>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</si>
  <si>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</si>
  <si>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</si>
  <si>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</si>
  <si>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</si>
  <si>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</si>
  <si>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</si>
  <si>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</si>
  <si>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</si>
  <si>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</si>
  <si>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</si>
  <si>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</si>
  <si>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</si>
  <si>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</si>
  <si>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</si>
  <si>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</si>
  <si>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</si>
  <si>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</si>
  <si>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</si>
  <si>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</si>
  <si>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</si>
  <si>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</si>
  <si>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</si>
  <si>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</si>
  <si>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</si>
  <si>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</si>
  <si>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</si>
  <si>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</si>
  <si>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</si>
  <si>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</si>
  <si>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</si>
  <si>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</si>
  <si>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</si>
  <si>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</si>
  <si>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</si>
  <si>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</si>
  <si>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</si>
  <si>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</si>
  <si>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</si>
  <si>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</si>
  <si>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</si>
  <si>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</si>
  <si>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</si>
  <si>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</si>
  <si>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</si>
  <si>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</si>
  <si>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</si>
  <si>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</si>
  <si>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</si>
  <si>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</si>
  <si>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</si>
  <si>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</si>
  <si>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</si>
  <si>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</si>
  <si>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</si>
  <si>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</si>
  <si>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</si>
  <si>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</si>
  <si>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</si>
  <si>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</si>
  <si>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</si>
  <si>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</si>
  <si>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</si>
  <si>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</si>
  <si>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</si>
  <si>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</si>
  <si>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</si>
  <si>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</si>
  <si>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</si>
  <si>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</si>
  <si>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</si>
  <si>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</si>
  <si>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</si>
  <si>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</si>
  <si>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</si>
  <si>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</si>
  <si>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</si>
  <si>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</si>
  <si>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</si>
  <si>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</si>
  <si>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</si>
  <si>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</si>
  <si>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</si>
  <si>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</si>
  <si>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</si>
  <si>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</si>
  <si>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</si>
  <si>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</si>
  <si>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</si>
  <si>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</si>
  <si>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</si>
  <si>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</si>
  <si>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</si>
  <si>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</si>
  <si>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</si>
  <si>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</si>
  <si>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</si>
  <si>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</si>
  <si>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</si>
  <si>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</si>
  <si>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</si>
  <si>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</si>
  <si>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</si>
  <si>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</si>
  <si>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</si>
  <si>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</si>
  <si>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</si>
  <si>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</si>
  <si>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</si>
  <si>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</si>
  <si>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</si>
  <si>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</si>
  <si>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</si>
  <si>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</si>
  <si>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</si>
  <si>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</si>
  <si>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</si>
  <si>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</si>
  <si>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</si>
  <si>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</si>
  <si>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</si>
  <si>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</si>
  <si>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</si>
  <si>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</si>
  <si>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</si>
  <si>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</si>
  <si>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</si>
  <si>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</si>
  <si>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</si>
  <si>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</si>
  <si>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</si>
  <si>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</si>
  <si>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</si>
  <si>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</si>
  <si>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</si>
  <si>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</si>
  <si>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</si>
  <si>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</si>
  <si>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</si>
  <si>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</si>
  <si>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</si>
  <si>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</si>
  <si>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</si>
  <si>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</si>
  <si>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</si>
  <si>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</si>
  <si>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</si>
  <si>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</si>
  <si>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</si>
  <si>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</si>
  <si>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</si>
  <si>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</si>
  <si>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</si>
  <si>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</si>
  <si>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</si>
  <si>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</si>
  <si>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</si>
  <si>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</si>
  <si>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</si>
  <si>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</si>
  <si>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</si>
  <si>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</si>
  <si>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</si>
  <si>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</si>
  <si>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</si>
  <si>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</si>
  <si>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</si>
  <si>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</si>
  <si>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</si>
  <si>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</si>
  <si>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</si>
  <si>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</si>
  <si>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</si>
  <si>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</si>
  <si>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</si>
  <si>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</si>
  <si>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</si>
  <si>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</si>
  <si>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</si>
  <si>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</si>
  <si>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</si>
  <si>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</si>
  <si>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</si>
  <si>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</si>
  <si>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</si>
  <si>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</si>
  <si>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</si>
  <si>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</si>
  <si>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</si>
  <si>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</si>
  <si>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</si>
  <si>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</si>
  <si>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</si>
  <si>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</si>
  <si>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</si>
  <si>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</si>
  <si>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</si>
  <si>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</si>
  <si>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</si>
  <si>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</si>
  <si>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</si>
  <si>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</si>
  <si>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</si>
  <si>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</si>
  <si>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</si>
  <si>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</si>
  <si>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</si>
  <si>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</si>
  <si>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</si>
  <si>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</si>
  <si>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</si>
  <si>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</si>
  <si>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</si>
  <si>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</si>
  <si>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</si>
  <si>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</si>
  <si>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</si>
  <si>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</si>
  <si>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</si>
  <si>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</si>
  <si>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</si>
  <si>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</si>
  <si>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</si>
  <si>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</si>
  <si>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</si>
  <si>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</si>
  <si>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</si>
  <si>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</si>
  <si>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</si>
  <si>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</si>
  <si>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</si>
  <si>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</si>
  <si>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</si>
  <si>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</si>
  <si>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</si>
  <si>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</si>
  <si>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</si>
  <si>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</si>
  <si>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</si>
  <si>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</si>
  <si>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</si>
  <si>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</si>
  <si>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</si>
  <si>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</si>
  <si>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</si>
  <si>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</si>
  <si>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</si>
  <si>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</si>
  <si>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</si>
  <si>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</si>
  <si>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</si>
  <si>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</si>
  <si>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</si>
  <si>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</si>
  <si>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</si>
  <si>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</si>
  <si>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</si>
  <si>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</si>
  <si>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</si>
  <si>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</si>
  <si>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</si>
  <si>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</si>
  <si>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</si>
  <si>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</si>
  <si>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</si>
  <si>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</si>
  <si>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</si>
  <si>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</si>
  <si>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</si>
  <si>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</si>
  <si>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</si>
  <si>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</si>
  <si>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</si>
  <si>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</si>
  <si>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</si>
  <si>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</si>
  <si>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</si>
  <si>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</si>
  <si>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</si>
  <si>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</si>
  <si>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</si>
  <si>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</si>
  <si>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</si>
  <si>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</si>
  <si>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</si>
  <si>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</si>
  <si>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</si>
  <si>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</si>
  <si>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</si>
  <si>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</si>
  <si>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</si>
  <si>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</si>
  <si>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</si>
  <si>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</si>
  <si>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</si>
  <si>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</si>
  <si>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</si>
  <si>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</si>
  <si>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</si>
  <si>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</si>
  <si>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</si>
  <si>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</si>
  <si>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</si>
  <si>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</si>
  <si>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</si>
  <si>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</si>
  <si>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</si>
  <si>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</si>
  <si>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</si>
  <si>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</si>
  <si>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</si>
  <si>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</si>
  <si>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</si>
  <si>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</si>
  <si>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</si>
  <si>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</si>
  <si>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</si>
  <si>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</si>
  <si>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</si>
  <si>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</si>
  <si>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</si>
  <si>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</si>
  <si>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</si>
  <si>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</si>
  <si>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</si>
  <si>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</si>
  <si>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</si>
  <si>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</si>
  <si>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</si>
  <si>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</si>
  <si>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</si>
  <si>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</si>
  <si>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</si>
  <si>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</si>
  <si>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</si>
  <si>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</si>
  <si>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</si>
  <si>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</si>
  <si>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</si>
  <si>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</si>
  <si>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</si>
  <si>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</si>
  <si>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</si>
  <si>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</si>
  <si>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</si>
  <si>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</si>
  <si>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</si>
  <si>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</si>
  <si>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</si>
  <si>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</si>
  <si>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</si>
  <si>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</si>
  <si>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</si>
  <si>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</si>
  <si>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</si>
  <si>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</si>
  <si>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</si>
  <si>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</si>
  <si>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</si>
  <si>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</si>
  <si>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</si>
  <si>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</si>
  <si>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</si>
  <si>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</si>
  <si>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</si>
  <si>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</si>
  <si>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</si>
  <si>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</si>
  <si>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</si>
  <si>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</si>
  <si>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</si>
  <si>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</si>
  <si>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</si>
  <si>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</si>
  <si>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</si>
  <si>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</si>
  <si>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</si>
  <si>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</si>
  <si>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</si>
  <si>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</si>
  <si>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</si>
  <si>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</si>
  <si>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</si>
  <si>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</si>
  <si>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</si>
  <si>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</si>
  <si>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</si>
  <si>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</si>
  <si>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</si>
  <si>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</si>
  <si>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</si>
  <si>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</si>
  <si>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</si>
  <si>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</si>
  <si>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</si>
  <si>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</si>
  <si>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</si>
  <si>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</si>
  <si>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</si>
  <si>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</si>
  <si>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</si>
  <si>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</si>
  <si>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</si>
  <si>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</si>
  <si>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</si>
  <si>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</si>
  <si>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</si>
  <si>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</si>
  <si>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</si>
  <si>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</si>
  <si>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</si>
  <si>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</si>
  <si>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</si>
  <si>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</si>
  <si>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</si>
  <si>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</si>
  <si>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</si>
  <si>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</si>
  <si>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</si>
  <si>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</si>
  <si>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</si>
  <si>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</si>
  <si>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</si>
  <si>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</si>
  <si>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</si>
  <si>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</si>
  <si>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</si>
  <si>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</si>
  <si>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</si>
  <si>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</si>
  <si>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</si>
  <si>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</si>
  <si>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</si>
  <si>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</si>
  <si>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</si>
  <si>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</si>
  <si>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</si>
  <si>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</si>
  <si>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</si>
  <si>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</si>
  <si>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</si>
  <si>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</si>
  <si>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</si>
  <si>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</si>
  <si>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</si>
  <si>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</si>
  <si>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</si>
  <si>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</si>
  <si>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</si>
  <si>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</si>
  <si>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</si>
  <si>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</si>
  <si>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</si>
  <si>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</si>
  <si>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</si>
  <si>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</si>
  <si>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</si>
  <si>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</si>
  <si>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</si>
  <si>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</si>
  <si>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</si>
  <si>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</si>
  <si>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</si>
  <si>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</si>
  <si>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</si>
  <si>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</si>
  <si>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</si>
  <si>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</si>
  <si>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</si>
  <si>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</si>
  <si>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</si>
  <si>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</si>
  <si>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</si>
  <si>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</si>
  <si>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</si>
  <si>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</si>
  <si>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</si>
  <si>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</si>
  <si>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</si>
  <si>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</si>
  <si>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</si>
  <si>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</si>
  <si>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</si>
  <si>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</si>
  <si>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</si>
  <si>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</si>
  <si>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</si>
  <si>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</si>
  <si>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</si>
  <si>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</si>
  <si>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</si>
  <si>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</si>
  <si>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</si>
  <si>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</si>
  <si>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</si>
  <si>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</si>
  <si>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</si>
  <si>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</si>
  <si>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</si>
  <si>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</si>
  <si>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</si>
  <si>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</si>
  <si>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</si>
  <si>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</si>
  <si>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</si>
  <si>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</si>
  <si>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</si>
  <si>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</si>
  <si>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</si>
  <si>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</si>
  <si>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</si>
  <si>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</si>
  <si>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</si>
  <si>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</si>
  <si>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</si>
  <si>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</si>
  <si>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</si>
  <si>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</si>
  <si>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</si>
  <si>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</si>
  <si>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</si>
  <si>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</si>
  <si>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</si>
  <si>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</si>
  <si>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</si>
  <si>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</si>
  <si>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</si>
  <si>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</si>
  <si>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</si>
  <si>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</si>
  <si>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</si>
  <si>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</si>
  <si>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</si>
  <si>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</si>
  <si>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</si>
  <si>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</si>
  <si>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</si>
  <si>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</si>
  <si>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</si>
  <si>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</si>
  <si>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</si>
  <si>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</si>
  <si>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</si>
  <si>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</si>
  <si>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</si>
  <si>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</si>
  <si>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</si>
  <si>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</si>
  <si>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</si>
  <si>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</si>
  <si>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</si>
  <si>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</si>
  <si>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</si>
  <si>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</si>
  <si>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</si>
  <si>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</si>
  <si>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</si>
  <si>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</si>
  <si>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</si>
  <si>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</si>
  <si>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</si>
  <si>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</si>
  <si>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</si>
  <si>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</si>
  <si>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</si>
  <si>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</si>
  <si>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</si>
  <si>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</si>
  <si>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</si>
  <si>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</si>
  <si>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</si>
  <si>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</si>
  <si>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</si>
  <si>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</si>
  <si>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</si>
  <si>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</si>
  <si>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</si>
  <si>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</si>
  <si>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</si>
  <si>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</si>
  <si>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</si>
  <si>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</si>
  <si>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</si>
  <si>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</si>
  <si>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</si>
  <si>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</si>
  <si>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</si>
  <si>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</si>
  <si>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</si>
  <si>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</si>
  <si>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</si>
  <si>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</si>
  <si>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</si>
  <si>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</si>
  <si>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</si>
  <si>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</si>
  <si>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</si>
  <si>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</si>
  <si>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</si>
  <si>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</si>
  <si>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</si>
  <si>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</si>
  <si>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</si>
  <si>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</si>
  <si>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</si>
  <si>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</si>
  <si>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</si>
  <si>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</si>
  <si>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</si>
  <si>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</si>
  <si>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</si>
  <si>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</si>
  <si>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</si>
  <si>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</si>
  <si>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</si>
  <si>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</si>
  <si>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</si>
  <si>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</si>
  <si>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</si>
  <si>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</si>
  <si>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</si>
  <si>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</si>
  <si>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</si>
  <si>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</si>
  <si>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</si>
  <si>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</si>
  <si>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</si>
  <si>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</si>
  <si>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</si>
  <si>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</si>
  <si>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</si>
  <si>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</si>
  <si>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</si>
  <si>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</si>
  <si>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</si>
  <si>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</si>
  <si>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</si>
  <si>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</si>
  <si>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</si>
  <si>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</si>
  <si>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</si>
  <si>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</si>
  <si>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</si>
  <si>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</si>
  <si>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</si>
  <si>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</si>
  <si>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</si>
  <si>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</si>
  <si>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</si>
  <si>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</si>
  <si>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</si>
  <si>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</si>
  <si>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</si>
  <si>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</si>
  <si>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</si>
  <si>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</si>
  <si>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</si>
  <si>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</si>
  <si>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</si>
  <si>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</si>
  <si>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</si>
  <si>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</si>
  <si>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</si>
  <si>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</si>
  <si>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</si>
  <si>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</si>
  <si>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</si>
  <si>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</si>
  <si>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</si>
  <si>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</si>
  <si>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</si>
  <si>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</si>
  <si>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</si>
  <si>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</si>
  <si>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</si>
  <si>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</si>
  <si>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</si>
  <si>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</si>
  <si>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</si>
  <si>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</si>
  <si>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</si>
  <si>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</si>
  <si>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</si>
  <si>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</si>
  <si>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</si>
  <si>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</si>
  <si>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</si>
  <si>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</si>
  <si>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</si>
  <si>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</si>
  <si>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</si>
  <si>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</si>
  <si>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</si>
  <si>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</si>
  <si>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</si>
  <si>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</si>
  <si>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</si>
  <si>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</si>
  <si>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</si>
  <si>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</si>
  <si>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</si>
  <si>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</si>
  <si>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</si>
  <si>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</si>
  <si>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</si>
  <si>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</si>
  <si>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</si>
  <si>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</si>
  <si>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</si>
  <si>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</si>
  <si>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</si>
  <si>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</si>
  <si>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</si>
  <si>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</si>
  <si>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</si>
  <si>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</si>
  <si>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</si>
  <si>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</si>
  <si>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</si>
  <si>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</si>
  <si>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</si>
  <si>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</si>
  <si>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</si>
  <si>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</si>
  <si>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</si>
  <si>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</si>
  <si>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</si>
  <si>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</si>
  <si>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</si>
  <si>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</si>
  <si>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</si>
  <si>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</si>
  <si>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</si>
  <si>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</si>
  <si>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</si>
  <si>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</si>
  <si>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</si>
  <si>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</si>
  <si>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</si>
  <si>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</si>
  <si>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</si>
  <si>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</si>
  <si>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</si>
  <si>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</si>
  <si>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</si>
  <si>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</si>
  <si>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</si>
  <si>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</si>
  <si>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</si>
  <si>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</si>
  <si>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</si>
  <si>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</si>
  <si>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</si>
  <si>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</si>
  <si>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</si>
  <si>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</si>
  <si>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</si>
  <si>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</si>
  <si>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</si>
  <si>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</si>
  <si>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</si>
  <si>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</si>
  <si>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</si>
  <si>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</si>
  <si>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</si>
  <si>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</si>
  <si>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</si>
  <si>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</si>
  <si>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</si>
  <si>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</si>
  <si>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</si>
  <si>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</si>
  <si>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</si>
  <si>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</si>
  <si>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</si>
  <si>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</si>
  <si>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</si>
  <si>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</si>
  <si>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</si>
  <si>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</si>
  <si>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</si>
  <si>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</si>
  <si>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</si>
  <si>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</si>
  <si>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</si>
  <si>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</si>
  <si>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</si>
  <si>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</si>
  <si>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</si>
  <si>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</si>
  <si>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</si>
  <si>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</si>
  <si>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</si>
  <si>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</si>
  <si>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</si>
  <si>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</si>
  <si>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</si>
  <si>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</si>
  <si>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</si>
  <si>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</si>
  <si>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</si>
  <si>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</si>
  <si>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</si>
  <si>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</si>
  <si>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</si>
  <si>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</si>
  <si>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</si>
  <si>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</si>
  <si>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</si>
  <si>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</si>
  <si>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</si>
  <si>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</si>
  <si>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</si>
  <si>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</si>
  <si>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</si>
  <si>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</si>
  <si>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</si>
  <si>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</si>
  <si>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</si>
  <si>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</si>
  <si>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</si>
  <si>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</si>
  <si>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</si>
  <si>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</si>
  <si>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</si>
  <si>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</si>
  <si>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</si>
  <si>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</si>
  <si>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</si>
  <si>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</si>
  <si>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</si>
  <si>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</si>
  <si>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</si>
  <si>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</si>
  <si>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</si>
  <si>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</si>
  <si>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</si>
  <si>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</si>
  <si>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</si>
  <si>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</si>
  <si>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</si>
  <si>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</si>
  <si>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</si>
  <si>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</si>
  <si>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</si>
  <si>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</si>
  <si>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</si>
  <si>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</si>
  <si>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</si>
  <si>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</si>
  <si>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</si>
  <si>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</si>
  <si>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</si>
  <si>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</si>
  <si>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</si>
  <si>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</si>
  <si>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</si>
  <si>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</si>
  <si>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</si>
  <si>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</si>
  <si>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</si>
  <si>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</si>
  <si>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</si>
  <si>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</si>
  <si>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</si>
  <si>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</si>
  <si>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</si>
  <si>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</si>
  <si>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</si>
  <si>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</si>
  <si>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</si>
  <si>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</si>
  <si>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</si>
  <si>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</si>
  <si>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</si>
  <si>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</si>
  <si>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</si>
  <si>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</si>
  <si>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</si>
  <si>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</si>
  <si>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</si>
  <si>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</si>
  <si>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</si>
  <si>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</si>
  <si>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</si>
  <si>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</si>
  <si>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</si>
  <si>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</si>
  <si>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</si>
  <si>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</si>
  <si>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</si>
  <si>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</si>
  <si>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</si>
  <si>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</si>
  <si>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</si>
  <si>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</si>
  <si>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</si>
  <si>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</si>
  <si>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</si>
  <si>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</si>
  <si>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</si>
  <si>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</si>
  <si>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</si>
  <si>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</si>
  <si>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</si>
  <si>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</si>
  <si>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</si>
  <si>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</si>
  <si>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</si>
  <si>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</si>
  <si>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</si>
  <si>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</si>
  <si>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</si>
  <si>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</si>
  <si>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</si>
  <si>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</si>
  <si>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</si>
  <si>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</si>
  <si>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</si>
  <si>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</si>
  <si>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</si>
  <si>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</si>
  <si>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</si>
  <si>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</si>
  <si>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</si>
  <si>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</si>
  <si>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</si>
  <si>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</si>
  <si>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</si>
  <si>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</si>
  <si>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</si>
  <si>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</si>
  <si>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</si>
  <si>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</si>
  <si>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</si>
  <si>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</si>
  <si>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</si>
  <si>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</si>
  <si>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</si>
  <si>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</si>
  <si>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</si>
  <si>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</si>
  <si>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</si>
  <si>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</si>
  <si>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</si>
  <si>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</si>
  <si>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</si>
  <si>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</si>
  <si>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</si>
  <si>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</si>
  <si>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</si>
  <si>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</si>
  <si>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</si>
  <si>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</si>
  <si>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</si>
  <si>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</si>
  <si>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</si>
  <si>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</si>
  <si>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</si>
  <si>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</si>
  <si>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</si>
  <si>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</si>
  <si>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</si>
  <si>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</si>
  <si>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</si>
  <si>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</si>
  <si>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</si>
  <si>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</si>
  <si>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</si>
  <si>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</si>
  <si>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</si>
  <si>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</si>
  <si>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</si>
  <si>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</si>
  <si>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</si>
  <si>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</si>
  <si>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</si>
  <si>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</si>
  <si>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</si>
  <si>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</si>
  <si>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</si>
  <si>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</si>
  <si>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</si>
  <si>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</si>
  <si>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</si>
  <si>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</si>
  <si>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</si>
  <si>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</si>
  <si>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</si>
  <si>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</si>
  <si>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</si>
  <si>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</si>
  <si>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</si>
  <si>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</si>
  <si>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</si>
  <si>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</si>
  <si>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</si>
  <si>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</si>
  <si>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</si>
  <si>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</si>
  <si>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</si>
  <si>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</si>
  <si>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</si>
  <si>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</si>
  <si>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</si>
  <si>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</si>
  <si>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</si>
  <si>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</si>
  <si>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</si>
  <si>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</si>
  <si>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</si>
  <si>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</si>
  <si>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</si>
  <si>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</si>
  <si>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</si>
  <si>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</si>
  <si>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</si>
  <si>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</si>
  <si>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</si>
  <si>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</si>
  <si>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</si>
  <si>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</si>
  <si>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</si>
  <si>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</si>
  <si>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</si>
  <si>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</si>
  <si>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</si>
  <si>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</si>
  <si>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</si>
  <si>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</si>
  <si>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</si>
  <si>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</si>
  <si>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</si>
  <si>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</si>
  <si>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</si>
  <si>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</si>
  <si>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</si>
  <si>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</si>
  <si>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260701001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</si>
  <si>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</si>
  <si>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</si>
  <si>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</si>
  <si>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</si>
  <si>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</si>
  <si>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</si>
  <si>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</si>
  <si>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</si>
  <si>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</si>
  <si>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</si>
  <si>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</si>
  <si>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</si>
  <si>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</si>
  <si>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</si>
  <si>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</si>
  <si>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</si>
  <si>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</si>
  <si>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</si>
  <si>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</si>
  <si>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</si>
  <si>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</si>
  <si>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</si>
  <si>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</si>
  <si>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</si>
  <si>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</si>
  <si>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</si>
  <si>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</si>
  <si>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</si>
  <si>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</si>
  <si>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</si>
  <si>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</si>
  <si>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</si>
  <si>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</si>
  <si>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</si>
  <si>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</si>
  <si>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</si>
  <si>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</si>
  <si>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</si>
  <si>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</si>
  <si>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</si>
  <si>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</si>
  <si>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</si>
  <si>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</si>
  <si>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</si>
  <si>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</si>
  <si>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</si>
  <si>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</si>
  <si>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</si>
  <si>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</si>
  <si>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</si>
  <si>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</si>
  <si>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</si>
  <si>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</si>
  <si>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</si>
  <si>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</si>
  <si>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</si>
  <si>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</si>
  <si>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</si>
  <si>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</si>
  <si>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</si>
  <si>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</si>
  <si>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</si>
  <si>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</si>
  <si>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</si>
  <si>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</si>
  <si>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</si>
  <si>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</si>
  <si>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</si>
  <si>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</si>
  <si>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</si>
  <si>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</si>
  <si>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</si>
  <si>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</si>
  <si>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</si>
  <si>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</si>
  <si>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</si>
  <si>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</si>
  <si>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</si>
  <si>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</si>
  <si>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</si>
  <si>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</si>
  <si>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</si>
  <si>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</si>
  <si>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</si>
  <si>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</si>
  <si>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</si>
  <si>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</si>
  <si>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</si>
  <si>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</si>
  <si>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</si>
  <si>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</si>
  <si>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</si>
  <si>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</si>
  <si>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</si>
  <si>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</si>
  <si>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</si>
  <si>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</si>
  <si>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</si>
  <si>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</si>
  <si>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</si>
  <si>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</si>
  <si>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</si>
  <si>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</si>
  <si>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</si>
  <si>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</si>
  <si>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</si>
  <si>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</si>
  <si>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</si>
  <si>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</si>
  <si>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</si>
  <si>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</si>
  <si>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</si>
  <si>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</si>
  <si>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</si>
  <si>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</si>
  <si>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</si>
  <si>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</si>
  <si>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</si>
  <si>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</si>
  <si>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</si>
  <si>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</si>
  <si>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</si>
  <si>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</si>
  <si>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</si>
  <si>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</si>
  <si>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</si>
  <si>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</si>
  <si>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</si>
  <si>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</si>
  <si>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</si>
  <si>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</si>
  <si>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</si>
  <si>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</si>
  <si>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</si>
  <si>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</si>
  <si>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</si>
  <si>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</si>
  <si>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</si>
  <si>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</si>
  <si>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</si>
  <si>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</si>
  <si>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</si>
  <si>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</si>
  <si>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</si>
  <si>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</si>
  <si>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</si>
  <si>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</si>
  <si>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</si>
  <si>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</si>
  <si>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</si>
  <si>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</si>
  <si>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</si>
  <si>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</si>
  <si>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</si>
  <si>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</si>
  <si>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</si>
  <si>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</si>
  <si>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</si>
  <si>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</si>
  <si>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</si>
  <si>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</si>
  <si>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</si>
  <si>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</si>
  <si>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</si>
  <si>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</si>
  <si>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</si>
  <si>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</si>
  <si>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</si>
  <si>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</si>
  <si>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</si>
  <si>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</si>
  <si>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</si>
  <si>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</si>
  <si>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</si>
  <si>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</si>
  <si>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</si>
  <si>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</si>
  <si>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</si>
  <si>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</si>
  <si>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</si>
  <si>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</si>
  <si>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</si>
  <si>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</si>
  <si>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</si>
  <si>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</si>
  <si>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</si>
  <si>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</si>
  <si>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</si>
  <si>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</si>
  <si>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</si>
  <si>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</si>
  <si>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</si>
  <si>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</si>
  <si>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</si>
  <si>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</si>
  <si>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</si>
  <si>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</si>
  <si>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</si>
  <si>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</si>
  <si>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</si>
  <si>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</si>
  <si>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</si>
  <si>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</si>
  <si>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</si>
  <si>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</si>
  <si>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</si>
  <si>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</si>
  <si>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</si>
  <si>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</si>
  <si>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</si>
  <si>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</si>
  <si>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</si>
  <si>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</si>
  <si>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</si>
  <si>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</si>
  <si>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</si>
  <si>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</si>
  <si>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</si>
  <si>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</si>
  <si>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</si>
  <si>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</si>
  <si>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</si>
  <si>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</si>
  <si>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</si>
  <si>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</si>
  <si>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</si>
  <si>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</si>
  <si>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</si>
  <si>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</si>
  <si>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</si>
  <si>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</si>
  <si>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</si>
  <si>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</si>
  <si>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</si>
  <si>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</si>
  <si>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</si>
  <si>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</si>
  <si>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</si>
  <si>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</si>
  <si>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</si>
  <si>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</si>
  <si>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</si>
  <si>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</si>
  <si>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</si>
  <si>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</si>
  <si>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</si>
  <si>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</si>
  <si>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</si>
  <si>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</si>
  <si>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</si>
  <si>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</si>
  <si>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</si>
  <si>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</si>
  <si>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</si>
  <si>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</si>
  <si>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</si>
  <si>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</si>
  <si>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</si>
  <si>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</si>
  <si>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</si>
  <si>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</si>
  <si>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</si>
  <si>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</si>
  <si>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</si>
  <si>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</si>
  <si>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</si>
  <si>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</si>
  <si>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</si>
  <si>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</si>
  <si>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</si>
  <si>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</si>
  <si>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</si>
  <si>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</si>
  <si>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</si>
  <si>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</si>
  <si>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</si>
  <si>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</si>
  <si>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</si>
  <si>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</si>
  <si>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</si>
  <si>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</si>
  <si>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</si>
  <si>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</si>
  <si>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</si>
  <si>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</si>
  <si>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</si>
  <si>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</si>
  <si>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</si>
  <si>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</si>
  <si>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</si>
  <si>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</si>
  <si>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</si>
  <si>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</si>
  <si>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</si>
  <si>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</si>
  <si>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</si>
  <si>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</si>
  <si>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</si>
  <si>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</si>
  <si>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</si>
  <si>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</si>
  <si>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</si>
  <si>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</si>
  <si>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</si>
  <si>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</si>
  <si>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</si>
  <si>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</si>
  <si>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</si>
  <si>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</si>
  <si>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</si>
  <si>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</si>
  <si>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</si>
  <si>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</si>
  <si>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</si>
  <si>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</si>
  <si>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</si>
  <si>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</si>
  <si>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</si>
  <si>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</si>
  <si>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</si>
  <si>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</si>
  <si>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</si>
  <si>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</si>
  <si>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</si>
  <si>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</si>
  <si>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</si>
  <si>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</si>
  <si>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</si>
  <si>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</si>
  <si>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</si>
  <si>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</si>
  <si>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</si>
  <si>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</si>
  <si>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</si>
  <si>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</si>
  <si>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</si>
  <si>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</si>
  <si>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</si>
  <si>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</si>
  <si>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</si>
  <si>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</si>
  <si>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</si>
  <si>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</si>
  <si>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</si>
  <si>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</si>
  <si>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</si>
  <si>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</si>
  <si>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</si>
  <si>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</si>
  <si>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</si>
  <si>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</si>
  <si>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</si>
  <si>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</si>
  <si>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</si>
  <si>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</si>
  <si>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</si>
  <si>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</si>
  <si>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</si>
  <si>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</si>
  <si>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</si>
  <si>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</si>
  <si>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</si>
  <si>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</si>
  <si>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</si>
  <si>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</si>
  <si>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</si>
  <si>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</si>
  <si>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</si>
  <si>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</si>
  <si>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</si>
  <si>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</si>
  <si>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</si>
  <si>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</si>
  <si>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</si>
  <si>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</si>
  <si>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</si>
  <si>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</si>
  <si>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</si>
  <si>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</si>
  <si>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</si>
  <si>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</si>
  <si>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</si>
  <si>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</si>
  <si>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</si>
  <si>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</si>
  <si>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</si>
  <si>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</si>
  <si>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</si>
  <si>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</si>
  <si>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</si>
  <si>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</si>
  <si>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</si>
  <si>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</si>
  <si>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</si>
  <si>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</si>
  <si>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</si>
  <si>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</si>
  <si>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</si>
  <si>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</si>
  <si>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</si>
  <si>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</si>
  <si>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181-П от 07.11.2017 Общество с ограниченной ответственностью "Водоканал" в сфере водоснабжения и водоотведения по развитию систем водоcнабжения и водоотведения, на территории муниципального района Советский на 2018-2020 годы</t>
  </si>
  <si>
    <t>01.01.2018</t>
  </si>
  <si>
    <t>31.12.2020</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</si>
  <si>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</si>
  <si>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</si>
  <si>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</si>
  <si>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МП "ЖЭК-3" Ханты-Мансийского района в сфере водоснабжения и водоотведения на 2018-2020 годы</t>
  </si>
  <si>
    <t>Инвестиционная программа МУП "ТО УТВиВ №1" Сургутского района по реконструкции, модернизации и развитию систем водоснабжения и водоотведения на 2018-2020 годы</t>
  </si>
  <si>
    <t>Инвестиционная программа ОАО "Юганскводоканал" по развитию систем водоснабжения и водоотведения города Нефтеюганск на 2018-2020 годы</t>
  </si>
  <si>
    <t>Инвестиционная программа ООО "ВОДОКАНАЛ" по развитию системы водоснабжения и водоотведения Советского муниципального района на 2017-2020 годы</t>
  </si>
  <si>
    <t>01.01.2017</t>
  </si>
  <si>
    <t>Инвестиционная программа общества с ограниченной ответственностью "Горводоканал"по реконструкции, модернизации и развитию систем водоснабжения и водоотведения города Когалыма на 2010-2020 гг.</t>
  </si>
  <si>
    <t>01.01.2010</t>
  </si>
  <si>
    <t>Инвестиционная программа от 07.11.2017 Общество с ограниченной ответственностью "Водоканал" в сфере водоснабжения и водоотведения по развитию объектов централизованных систем водоснабжения и водоотведения, на территории муниципального района Советский на 2018-2020 годы</t>
  </si>
  <si>
    <t>Инвестиционная программа от 07.11.2017 Общество с ограниченной ответственностью "Водоканал"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Советский на 2017-2020 годы</t>
  </si>
  <si>
    <t>07.11.2017</t>
  </si>
  <si>
    <t>Инвестиционная программа от 17.09.2020 Общество с ограниченной ответственностью «Нижневартовские коммунальные системы» в сфере водоснабжения и водоотведения по модернизации и реконструкции систем коммунальной инфраструктуры, на территории городского округа Нижневартовск на 2020-2023 годы</t>
  </si>
  <si>
    <t>02.10.2020</t>
  </si>
  <si>
    <t>31.12.2023</t>
  </si>
  <si>
    <t>Инвестиционная программа от 17.09.2020 Общество с ограниченной ответственностью «Нижневартовские коммунальные системы» в сфере холодного водоснабжения по развитию систем холодного водоснабжения и водоотведения, на территории городского округа Нижневартовск на 2020-2023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</si>
  <si>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</si>
  <si>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</si>
  <si>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Инвестиционная программа от 30.11.2017 АО "Юганскводоканал" в сфере водоснабжения и водоотведения по развитию систем водоcнабжения и водоотведения, на территории городского округа Нефтеюганск на 2018-2020 годы</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</si>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</sst>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1478">
    <xf numFmtId="49" fontId="0" fillId="0" borderId="0" xfId="0">
      <alignment vertical="top"/>
    </xf>
    <xf numFmtId="0" fontId="2" fillId="0" borderId="0" xfId="0" applyNumberFormat="1" applyFont="1" applyAlignment="1">
      <alignment vertical="top" wrapText="1"/>
    </xf>
    <xf numFmtId="49" fontId="2" fillId="0" borderId="0" xfId="0" applyFont="1">
      <alignment vertical="top"/>
    </xf>
    <xf numFmtId="49" fontId="2" fillId="5" borderId="1" xfId="0" applyFont="1" applyFill="1" applyBorder="1" applyAlignment="1">
      <alignment horizontal="center" vertical="top"/>
    </xf>
    <xf numFmtId="0" fontId="2" fillId="0" borderId="0" xfId="0" applyNumberFormat="1" applyFont="1" applyAlignment="1"/>
    <xf numFmtId="0" fontId="2" fillId="6" borderId="0" xfId="0" applyNumberFormat="1" applyFont="1" applyFill="1" applyAlignment="1"/>
    <xf numFmtId="0" fontId="3" fillId="0" borderId="0" xfId="0" applyNumberFormat="1" applyFont="1" applyAlignment="1">
      <alignment vertical="center" wrapText="1"/>
    </xf>
    <xf numFmtId="0" fontId="4" fillId="0" borderId="0" xfId="0" applyNumberFormat="1" applyFont="1" applyAlignment="1">
      <alignment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Font="1" applyFill="1" applyAlignment="1">
      <alignment horizontal="right" vertical="center" wrapText="1" indent="1"/>
    </xf>
    <xf numFmtId="49" fontId="5" fillId="6" borderId="0" xfId="0" applyFont="1" applyFill="1" applyAlignment="1">
      <alignment horizontal="center" vertical="center" wrapText="1"/>
    </xf>
    <xf numFmtId="0" fontId="2" fillId="6" borderId="0" xfId="0" applyNumberFormat="1" applyFont="1" applyFill="1" applyAlignment="1">
      <alignment horizontal="right" vertical="center" wrapText="1"/>
    </xf>
    <xf numFmtId="49" fontId="0" fillId="6" borderId="0" xfId="0" applyFill="1" applyAlignment="1">
      <alignment horizontal="right" vertical="center" wrapText="1" indent="1"/>
    </xf>
    <xf numFmtId="49" fontId="7" fillId="6" borderId="0" xfId="0"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Font="1" applyBorder="1" applyAlignment="1">
      <alignment vertical="top" wrapText="1"/>
    </xf>
    <xf numFmtId="0" fontId="0" fillId="0" borderId="2" xfId="0" applyNumberFormat="1" applyBorder="1" applyAlignment="1">
      <alignment vertical="top" wrapText="1"/>
    </xf>
    <xf numFmtId="0" fontId="10" fillId="0" borderId="0" xfId="0" applyNumberFormat="1" applyFont="1" applyAlignment="1"/>
    <xf numFmtId="0" fontId="11" fillId="6" borderId="0" xfId="0" applyNumberFormat="1" applyFont="1" applyFill="1" applyAlignment="1">
      <alignment vertical="center" wrapText="1"/>
    </xf>
    <xf numFmtId="0" fontId="11" fillId="0" borderId="0" xfId="0" applyNumberFormat="1" applyFont="1" applyAlignment="1">
      <alignment vertical="center" wrapText="1"/>
    </xf>
    <xf numFmtId="0" fontId="3" fillId="0" borderId="0" xfId="0" applyNumberFormat="1" applyFont="1" applyAlignment="1">
      <alignment horizontal="left" vertical="center" wrapText="1"/>
    </xf>
    <xf numFmtId="49" fontId="3" fillId="0" borderId="0" xfId="0" applyFont="1" applyAlignment="1">
      <alignment horizontal="left" vertical="center" wrapText="1"/>
    </xf>
    <xf numFmtId="0" fontId="0" fillId="0" borderId="0" xfId="0" applyNumberFormat="1">
      <alignment vertical="top"/>
    </xf>
    <xf numFmtId="49" fontId="2" fillId="0" borderId="0" xfId="0" applyFont="1" applyAlignment="1">
      <alignment vertical="center" wrapText="1"/>
    </xf>
    <xf numFmtId="0" fontId="0" fillId="0" borderId="0" xfId="0" applyNumberFormat="1" applyAlignment="1">
      <alignment vertical="center"/>
    </xf>
    <xf numFmtId="0" fontId="2" fillId="6" borderId="3" xfId="0" applyNumberFormat="1" applyFont="1" applyFill="1" applyBorder="1" applyAlignment="1">
      <alignment horizontal="center" vertical="center" wrapText="1"/>
    </xf>
    <xf numFmtId="49" fontId="2" fillId="7" borderId="3" xfId="0" applyFont="1" applyFill="1" applyBorder="1" applyAlignment="1" applyProtection="1">
      <alignment horizontal="left" vertical="center" wrapText="1"/>
      <protection locked="0"/>
    </xf>
    <xf numFmtId="49" fontId="12" fillId="8" borderId="4" xfId="0" applyFont="1" applyFill="1" applyBorder="1" applyAlignment="1">
      <alignment horizontal="left" vertical="center"/>
    </xf>
    <xf numFmtId="0" fontId="0" fillId="0" borderId="3" xfId="0" applyNumberForma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0" fontId="13" fillId="0" borderId="0" xfId="0" applyNumberFormat="1" applyFont="1" applyAlignment="1">
      <alignment vertical="center"/>
    </xf>
    <xf numFmtId="49" fontId="2" fillId="0" borderId="3" xfId="0" applyFont="1" applyBorder="1" applyAlignment="1">
      <alignment horizontal="center" vertical="center" wrapText="1"/>
    </xf>
    <xf numFmtId="0" fontId="2" fillId="6" borderId="3" xfId="0" applyNumberFormat="1" applyFont="1" applyFill="1" applyBorder="1" applyAlignment="1">
      <alignment horizontal="center" vertical="center"/>
    </xf>
    <xf numFmtId="0" fontId="14" fillId="0" borderId="0" xfId="0" applyNumberFormat="1" applyFont="1" applyAlignment="1">
      <alignment vertical="center" wrapText="1"/>
    </xf>
    <xf numFmtId="49" fontId="3" fillId="0" borderId="0" xfId="0" applyFont="1">
      <alignment vertical="top"/>
    </xf>
    <xf numFmtId="49" fontId="8" fillId="0" borderId="0" xfId="0" applyFont="1" applyAlignment="1">
      <alignment horizontal="center" vertical="center"/>
    </xf>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8" fillId="0" borderId="0" xfId="0" applyFont="1" applyAlignment="1">
      <alignment horizontal="center" vertical="center" wrapText="1"/>
    </xf>
    <xf numFmtId="49" fontId="16" fillId="8" borderId="6" xfId="0" applyFont="1" applyFill="1" applyBorder="1" applyAlignment="1">
      <alignment horizontal="center" vertical="top"/>
    </xf>
    <xf numFmtId="49" fontId="12" fillId="8" borderId="6" xfId="0" applyFont="1" applyFill="1" applyBorder="1" applyAlignment="1">
      <alignment horizontal="left" vertical="center"/>
    </xf>
    <xf numFmtId="49" fontId="2" fillId="0" borderId="0" xfId="0" applyFont="1" applyAlignment="1">
      <alignment horizontal="center" vertical="top"/>
    </xf>
    <xf numFmtId="0" fontId="0" fillId="0" borderId="0" xfId="0" applyNumberFormat="1" applyAlignment="1">
      <alignment horizontal="center" vertical="center" wrapText="1"/>
    </xf>
    <xf numFmtId="49" fontId="2" fillId="0" borderId="0" xfId="0" applyFont="1" applyAlignment="1">
      <alignment horizontal="center" vertical="center" wrapText="1"/>
    </xf>
    <xf numFmtId="49" fontId="17" fillId="0" borderId="0" xfId="0" applyFont="1" applyAlignment="1">
      <alignment horizontal="right" vertical="top"/>
    </xf>
    <xf numFmtId="49" fontId="17" fillId="0" borderId="0" xfId="0" applyFont="1">
      <alignment vertical="top"/>
    </xf>
    <xf numFmtId="0" fontId="2" fillId="0" borderId="0" xfId="0" applyNumberFormat="1" applyFont="1" applyAlignment="1">
      <alignment horizontal="center" vertical="center" wrapText="1"/>
    </xf>
    <xf numFmtId="0" fontId="18" fillId="0" borderId="0" xfId="0" applyNumberFormat="1" applyFont="1" applyAlignment="1">
      <alignment vertical="center" wrapText="1"/>
    </xf>
    <xf numFmtId="49" fontId="2" fillId="0" borderId="7" xfId="0" applyFont="1" applyBorder="1">
      <alignment vertical="top"/>
    </xf>
    <xf numFmtId="49" fontId="19" fillId="0" borderId="0" xfId="0" applyFont="1">
      <alignment vertical="top"/>
    </xf>
    <xf numFmtId="0" fontId="19" fillId="0" borderId="0" xfId="0" applyNumberFormat="1" applyFont="1" applyAlignment="1">
      <alignment vertical="center" wrapText="1"/>
    </xf>
    <xf numFmtId="49" fontId="0" fillId="6" borderId="3" xfId="0" applyFill="1" applyBorder="1" applyAlignment="1">
      <alignment horizontal="center" vertical="center" wrapText="1"/>
    </xf>
    <xf numFmtId="49" fontId="2" fillId="0" borderId="3" xfId="0"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0"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Alignment="1">
      <alignment vertical="top" wrapText="1"/>
    </xf>
    <xf numFmtId="0" fontId="1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Font="1" applyFill="1" applyBorder="1" applyAlignment="1">
      <alignment horizontal="left" vertical="center" wrapText="1"/>
    </xf>
    <xf numFmtId="49" fontId="0" fillId="8" borderId="6" xfId="0" applyFill="1" applyBorder="1" applyAlignment="1">
      <alignment horizontal="left" vertical="center"/>
    </xf>
    <xf numFmtId="49" fontId="19" fillId="8" borderId="11" xfId="0"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Font="1" applyFill="1" applyBorder="1" applyAlignment="1">
      <alignment horizontal="right" vertical="center" wrapText="1"/>
    </xf>
    <xf numFmtId="49" fontId="2" fillId="8" borderId="6" xfId="0" applyFont="1" applyFill="1" applyBorder="1" applyAlignment="1">
      <alignment horizontal="right" vertical="center" wrapText="1"/>
    </xf>
    <xf numFmtId="49" fontId="2" fillId="8" borderId="4" xfId="0"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Fill="1">
      <alignment vertical="top"/>
    </xf>
    <xf numFmtId="49" fontId="24" fillId="9" borderId="0" xfId="0" applyFont="1" applyFill="1">
      <alignment vertical="top"/>
    </xf>
    <xf numFmtId="49" fontId="24" fillId="0" borderId="0" xfId="0" applyFont="1">
      <alignment vertical="top"/>
    </xf>
    <xf numFmtId="49" fontId="0" fillId="8" borderId="6" xfId="0"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0" fontId="2" fillId="6"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0" borderId="3" xfId="0" applyNumberFormat="1" applyFill="1" applyBorder="1" applyAlignment="1" applyProtection="1">
      <alignment horizontal="left" vertical="center" wrapText="1" indent="2"/>
      <protection locked="0"/>
    </xf>
    <xf numFmtId="49" fontId="20" fillId="0" borderId="0" xfId="0" applyFont="1">
      <alignment vertical="top"/>
    </xf>
    <xf numFmtId="0" fontId="0" fillId="0" borderId="3" xfId="0" applyNumberFormat="1" applyBorder="1" applyAlignment="1">
      <alignment vertical="center" wrapText="1"/>
    </xf>
    <xf numFmtId="0" fontId="0" fillId="10" borderId="3" xfId="0" applyNumberFormat="1" applyFill="1" applyBorder="1" applyAlignment="1" applyProtection="1">
      <alignment horizontal="left" vertical="center" wrapText="1" indent="1"/>
      <protection locked="0"/>
    </xf>
    <xf numFmtId="49" fontId="12" fillId="8" borderId="6" xfId="0" applyFont="1" applyFill="1" applyBorder="1" applyAlignment="1">
      <alignment horizontal="left" vertical="center" indent="3"/>
    </xf>
    <xf numFmtId="49" fontId="16" fillId="8" borderId="4" xfId="0"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Font="1" applyFill="1" applyBorder="1" applyAlignment="1">
      <alignment horizontal="left" vertical="center" indent="1"/>
    </xf>
    <xf numFmtId="49" fontId="12" fillId="8"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2" fillId="11" borderId="3" xfId="0" applyFont="1" applyFill="1" applyBorder="1" applyAlignment="1">
      <alignment horizontal="left" vertical="center" wrapText="1"/>
    </xf>
    <xf numFmtId="0" fontId="2" fillId="0" borderId="3" xfId="0" applyNumberFormat="1" applyFont="1" applyBorder="1" applyAlignment="1">
      <alignment vertical="top" wrapText="1"/>
    </xf>
    <xf numFmtId="49" fontId="0" fillId="0" borderId="8" xfId="0" applyBorder="1">
      <alignment vertical="top"/>
    </xf>
    <xf numFmtId="0" fontId="25" fillId="0" borderId="0" xfId="0" applyNumberFormat="1" applyFont="1" applyAlignment="1">
      <alignment vertical="center"/>
    </xf>
    <xf numFmtId="49" fontId="26" fillId="10" borderId="3" xfId="0" applyFont="1" applyFill="1" applyBorder="1" applyAlignment="1" applyProtection="1">
      <alignment horizontal="left" vertical="center" wrapText="1"/>
      <protection locked="0"/>
    </xf>
    <xf numFmtId="0" fontId="0" fillId="5" borderId="3" xfId="0" applyNumberFormat="1" applyFill="1" applyBorder="1" applyAlignment="1">
      <alignment horizontal="left" vertical="center" wrapText="1" indent="1"/>
    </xf>
    <xf numFmtId="49" fontId="2" fillId="10" borderId="3" xfId="0" applyFont="1" applyFill="1" applyBorder="1" applyAlignment="1" applyProtection="1">
      <alignment horizontal="left" vertical="center" wrapText="1" indent="1"/>
      <protection locked="0"/>
    </xf>
    <xf numFmtId="49" fontId="2" fillId="5" borderId="3" xfId="0" applyFont="1" applyFill="1" applyBorder="1" applyAlignment="1">
      <alignment horizontal="left" vertical="center" wrapText="1" indent="1"/>
    </xf>
    <xf numFmtId="49" fontId="2" fillId="0" borderId="3" xfId="0"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7" fillId="0" borderId="6" xfId="0"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29" fillId="0" borderId="0" xfId="0" applyNumberFormat="1" applyFont="1" applyAlignment="1">
      <alignment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0" borderId="0" xfId="0" applyNumberFormat="1" applyFont="1" applyAlignment="1">
      <alignment vertical="center" wrapTex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horizontal="right" vertical="center"/>
    </xf>
    <xf numFmtId="0" fontId="0" fillId="0" borderId="0" xfId="0" applyNumberForma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2" fillId="0" borderId="0" xfId="0" applyNumberFormat="1" applyFont="1" applyAlignment="1">
      <alignment horizontal="left" vertical="center" wrapText="1" indent="2"/>
    </xf>
    <xf numFmtId="0" fontId="0" fillId="10" borderId="3" xfId="0" applyNumberForma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49" fontId="2" fillId="0" borderId="8" xfId="0" applyFont="1" applyBorder="1" applyAlignment="1">
      <alignment horizontal="left" vertical="center" wrapText="1"/>
    </xf>
    <xf numFmtId="49" fontId="22" fillId="8" borderId="5" xfId="0" applyFont="1" applyFill="1" applyBorder="1" applyAlignment="1">
      <alignment horizontal="center" vertical="center"/>
    </xf>
    <xf numFmtId="0" fontId="37" fillId="0" borderId="0" xfId="0" applyNumberFormat="1" applyFont="1" applyAlignment="1">
      <alignment vertical="center" wrapText="1"/>
    </xf>
    <xf numFmtId="0" fontId="37" fillId="0" borderId="0" xfId="0" applyNumberFormat="1" applyFont="1" applyAlignment="1"/>
    <xf numFmtId="49" fontId="38" fillId="0" borderId="0" xfId="0" applyFont="1">
      <alignment vertical="top"/>
    </xf>
    <xf numFmtId="49" fontId="39" fillId="0" borderId="0" xfId="0" applyFont="1">
      <alignment vertical="top"/>
    </xf>
    <xf numFmtId="0" fontId="20" fillId="0" borderId="0" xfId="0" applyNumberFormat="1" applyFont="1">
      <alignment vertical="top"/>
    </xf>
    <xf numFmtId="49" fontId="2" fillId="0" borderId="3" xfId="0" applyFont="1" applyBorder="1" applyAlignment="1">
      <alignment horizontal="right" vertical="center"/>
    </xf>
    <xf numFmtId="0" fontId="4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Alignment="1">
      <alignment horizontal="center" vertical="center"/>
    </xf>
    <xf numFmtId="0" fontId="41" fillId="0" borderId="0" xfId="0" applyNumberFormat="1" applyFont="1" applyAlignment="1">
      <alignment vertical="center"/>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Font="1" applyFill="1" applyBorder="1" applyAlignment="1">
      <alignment horizontal="left" vertical="center" indent="5"/>
    </xf>
    <xf numFmtId="49" fontId="12" fillId="8" borderId="6" xfId="0" applyFont="1" applyFill="1" applyBorder="1" applyAlignment="1">
      <alignment horizontal="left" vertical="center" indent="6"/>
    </xf>
    <xf numFmtId="0" fontId="42" fillId="6" borderId="0" xfId="0" applyNumberFormat="1" applyFont="1" applyFill="1" applyAlignment="1">
      <alignment vertical="center" wrapText="1"/>
    </xf>
    <xf numFmtId="49" fontId="12" fillId="8" borderId="5" xfId="0" applyFont="1" applyFill="1" applyBorder="1" applyAlignment="1">
      <alignment horizontal="left" vertical="center" indent="1"/>
    </xf>
    <xf numFmtId="0" fontId="0" fillId="6" borderId="3" xfId="0" applyNumberFormat="1" applyFill="1" applyBorder="1" applyAlignment="1">
      <alignment horizontal="right" vertical="center" wrapText="1" indent="1"/>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Fill="1" applyBorder="1" applyAlignment="1">
      <alignment horizontal="center" vertical="center" wrapText="1"/>
    </xf>
    <xf numFmtId="0" fontId="0" fillId="0" borderId="5" xfId="0" applyNumberFormat="1" applyBorder="1" applyAlignment="1">
      <alignment vertical="center"/>
    </xf>
    <xf numFmtId="169" fontId="0" fillId="10" borderId="3" xfId="0" applyNumberFormat="1" applyFill="1" applyBorder="1" applyAlignment="1" applyProtection="1">
      <alignment horizontal="right" vertical="center"/>
      <protection locked="0"/>
    </xf>
    <xf numFmtId="0" fontId="0" fillId="6" borderId="5" xfId="0" applyNumberFormat="1" applyFill="1" applyBorder="1" applyAlignment="1">
      <alignment horizontal="right" vertical="center" wrapText="1" indent="1"/>
    </xf>
    <xf numFmtId="49" fontId="43" fillId="8" borderId="5" xfId="0"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Font="1" applyFill="1" applyBorder="1" applyAlignment="1">
      <alignment vertical="center" wrapText="1"/>
    </xf>
    <xf numFmtId="49" fontId="12" fillId="8" borderId="6" xfId="0" applyFont="1" applyFill="1" applyBorder="1" applyAlignment="1">
      <alignment vertical="center"/>
    </xf>
    <xf numFmtId="49" fontId="12" fillId="8" borderId="6" xfId="0" applyFont="1" applyFill="1" applyBorder="1" applyAlignment="1">
      <alignment vertical="center" wrapText="1"/>
    </xf>
    <xf numFmtId="49" fontId="2" fillId="0" borderId="3" xfId="0" applyFont="1" applyBorder="1" applyAlignment="1">
      <alignment vertical="center" wrapText="1"/>
    </xf>
    <xf numFmtId="49" fontId="12" fillId="8" borderId="5" xfId="0" applyFont="1" applyFill="1" applyBorder="1" applyAlignment="1">
      <alignment horizontal="left" vertical="center"/>
    </xf>
    <xf numFmtId="49" fontId="0" fillId="0" borderId="3" xfId="0"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49" fontId="0" fillId="0" borderId="0" xfId="0" applyAlignment="1">
      <alignment vertical="center"/>
    </xf>
    <xf numFmtId="0" fontId="0" fillId="0" borderId="0" xfId="0" applyNumberForma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Font="1" applyFill="1" applyBorder="1" applyAlignment="1">
      <alignment horizontal="left" vertical="center"/>
    </xf>
    <xf numFmtId="49" fontId="2" fillId="8" borderId="4" xfId="0"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Fill="1" applyBorder="1" applyAlignment="1">
      <alignment horizontal="center" vertical="center" wrapText="1"/>
    </xf>
    <xf numFmtId="4" fontId="20" fillId="0" borderId="3" xfId="0" applyNumberFormat="1" applyFont="1" applyBorder="1" applyAlignment="1">
      <alignment horizontal="center" vertical="center" wrapText="1"/>
    </xf>
    <xf numFmtId="49" fontId="44" fillId="0" borderId="5" xfId="0"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14" xfId="0" applyNumberFormat="1" applyFont="1" applyBorder="1" applyAlignment="1">
      <alignment vertical="top" wrapText="1"/>
    </xf>
    <xf numFmtId="0" fontId="0" fillId="0" borderId="0" xfId="0" applyNumberFormat="1" applyAlignment="1">
      <alignment horizontal="left" vertical="top" wrapText="1"/>
    </xf>
    <xf numFmtId="0" fontId="2" fillId="0" borderId="8" xfId="0" applyNumberFormat="1" applyFont="1" applyBorder="1" applyAlignment="1">
      <alignment vertical="top" wrapText="1"/>
    </xf>
    <xf numFmtId="0" fontId="2" fillId="10" borderId="3" xfId="0" applyNumberFormat="1" applyFont="1" applyFill="1" applyBorder="1" applyAlignment="1" applyProtection="1">
      <alignment horizontal="left" vertical="center" wrapText="1" indent="1"/>
      <protection locked="0"/>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0" fillId="0" borderId="15" xfId="0" applyBorder="1">
      <alignment vertical="top"/>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49" fontId="12" fillId="8" borderId="6" xfId="0" applyFont="1" applyFill="1" applyBorder="1" applyAlignment="1">
      <alignment horizontal="left" vertical="center" indent="4"/>
    </xf>
    <xf numFmtId="49" fontId="2" fillId="0" borderId="0" xfId="0" applyFont="1" applyAlignment="1">
      <alignment vertical="center"/>
    </xf>
    <xf numFmtId="49" fontId="2" fillId="8" borderId="6" xfId="0" applyFont="1" applyFill="1" applyBorder="1" applyAlignment="1">
      <alignment horizontal="center" vertical="center" wrapText="1"/>
    </xf>
    <xf numFmtId="49" fontId="2" fillId="0" borderId="3" xfId="0" applyFont="1" applyBorder="1" applyAlignment="1">
      <alignment horizontal="right" vertical="top"/>
    </xf>
    <xf numFmtId="49" fontId="2" fillId="0" borderId="8" xfId="0" applyFont="1" applyBorder="1" applyAlignment="1">
      <alignment horizontal="right" vertical="top"/>
    </xf>
    <xf numFmtId="49" fontId="11" fillId="0" borderId="0" xfId="0" applyFont="1">
      <alignment vertical="top"/>
    </xf>
    <xf numFmtId="49" fontId="2" fillId="10" borderId="3" xfId="0" applyFont="1" applyFill="1" applyBorder="1" applyAlignment="1" applyProtection="1">
      <alignment horizontal="left" vertical="center" wrapText="1" indent="4"/>
      <protection locked="0"/>
    </xf>
    <xf numFmtId="49" fontId="2" fillId="10" borderId="3" xfId="0" applyFont="1" applyFill="1" applyBorder="1" applyAlignment="1" applyProtection="1">
      <alignment horizontal="left" vertical="center" wrapText="1"/>
      <protection locked="0"/>
    </xf>
    <xf numFmtId="4" fontId="0" fillId="10" borderId="3" xfId="0" applyNumberFormat="1" applyFill="1" applyBorder="1" applyAlignment="1" applyProtection="1">
      <alignment horizontal="right" vertical="center" wrapText="1"/>
      <protection locked="0"/>
    </xf>
    <xf numFmtId="49" fontId="20" fillId="0" borderId="0" xfId="0" applyFont="1" applyAlignment="1">
      <alignment vertical="center" wrapText="1"/>
    </xf>
    <xf numFmtId="49" fontId="20" fillId="0" borderId="0" xfId="0" applyFont="1" applyAlignment="1">
      <alignment vertical="center"/>
    </xf>
    <xf numFmtId="49" fontId="0" fillId="0" borderId="16" xfId="0"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Font="1" applyFill="1" applyBorder="1" applyAlignment="1" applyProtection="1">
      <alignment horizontal="left" vertical="center" wrapText="1"/>
      <protection locked="0"/>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0" borderId="10" xfId="0" applyNumberFormat="1" applyFont="1" applyBorder="1" applyAlignment="1">
      <alignment vertical="center" wrapText="1"/>
    </xf>
    <xf numFmtId="49" fontId="0" fillId="6" borderId="5" xfId="0"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Font="1" applyFill="1" applyBorder="1" applyAlignment="1">
      <alignment horizontal="left" vertical="center" indent="2"/>
    </xf>
    <xf numFmtId="49" fontId="26" fillId="7" borderId="3" xfId="0" applyFont="1" applyFill="1" applyBorder="1" applyAlignment="1" applyProtection="1">
      <alignment horizontal="left" vertical="center" wrapText="1"/>
      <protection locked="0"/>
    </xf>
    <xf numFmtId="49" fontId="2" fillId="0" borderId="10" xfId="0" applyFont="1" applyBorder="1">
      <alignment vertical="top"/>
    </xf>
    <xf numFmtId="49" fontId="43" fillId="8" borderId="4" xfId="0" applyFont="1" applyFill="1" applyBorder="1" applyAlignment="1">
      <alignment horizontal="left" vertical="center" indent="1"/>
    </xf>
    <xf numFmtId="49" fontId="43" fillId="8" borderId="6" xfId="0" applyFont="1" applyFill="1" applyBorder="1" applyAlignment="1">
      <alignment horizontal="left" vertical="center" indent="1"/>
    </xf>
    <xf numFmtId="49" fontId="43" fillId="8" borderId="6" xfId="0" applyFont="1" applyFill="1" applyBorder="1" applyAlignment="1">
      <alignment vertical="center"/>
    </xf>
    <xf numFmtId="0" fontId="0" fillId="12" borderId="3" xfId="0" applyNumberFormat="1" applyFill="1" applyBorder="1" applyAlignment="1">
      <alignment horizontal="right" vertical="center"/>
    </xf>
    <xf numFmtId="0" fontId="0" fillId="0" borderId="0" xfId="0" applyNumberFormat="1" applyAlignment="1">
      <alignment vertical="center" wrapText="1"/>
    </xf>
    <xf numFmtId="0" fontId="47" fillId="0" borderId="0" xfId="0" applyNumberFormat="1" applyFont="1" applyAlignment="1">
      <alignment vertical="center" wrapText="1"/>
    </xf>
    <xf numFmtId="49" fontId="22" fillId="8" borderId="5" xfId="0" applyFont="1" applyFill="1" applyBorder="1" applyAlignment="1">
      <alignment horizontal="right" vertical="center" wrapText="1"/>
    </xf>
    <xf numFmtId="49" fontId="0" fillId="8"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7" borderId="3" xfId="0" applyNumberFormat="1" applyFill="1" applyBorder="1" applyAlignment="1" applyProtection="1">
      <alignment horizontal="right" vertical="center" wrapText="1"/>
      <protection locked="0"/>
    </xf>
    <xf numFmtId="3" fontId="0" fillId="10" borderId="4" xfId="0" applyNumberFormat="1" applyFill="1" applyBorder="1" applyAlignment="1" applyProtection="1">
      <alignment horizontal="right" vertical="center" wrapText="1"/>
      <protection locked="0"/>
    </xf>
    <xf numFmtId="3" fontId="0" fillId="10"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6" borderId="5" xfId="0" applyNumberFormat="1" applyFill="1" applyBorder="1" applyAlignment="1">
      <alignment horizontal="left" vertical="center" wrapText="1" indent="1"/>
    </xf>
    <xf numFmtId="0" fontId="0" fillId="6" borderId="8" xfId="0" applyNumberFormat="1" applyFill="1" applyBorder="1" applyAlignment="1">
      <alignment horizontal="left" vertical="center" wrapText="1"/>
    </xf>
    <xf numFmtId="0" fontId="0" fillId="6" borderId="3" xfId="0" applyNumberFormat="1" applyFill="1" applyBorder="1" applyAlignment="1">
      <alignment horizontal="left" vertical="center" wrapText="1"/>
    </xf>
    <xf numFmtId="0" fontId="0" fillId="6" borderId="3" xfId="0" applyNumberFormat="1" applyFill="1" applyBorder="1" applyAlignment="1">
      <alignment horizontal="left" vertical="center" wrapText="1" indent="2"/>
    </xf>
    <xf numFmtId="0" fontId="0" fillId="6" borderId="3" xfId="0" applyNumberFormat="1" applyFill="1" applyBorder="1" applyAlignment="1">
      <alignment horizontal="center" vertical="center"/>
    </xf>
    <xf numFmtId="49" fontId="0" fillId="10" borderId="3" xfId="0" applyFill="1" applyBorder="1" applyAlignment="1" applyProtection="1">
      <alignment horizontal="left" vertical="center" wrapText="1"/>
      <protection locked="0"/>
    </xf>
    <xf numFmtId="0" fontId="0" fillId="6" borderId="3" xfId="0" applyNumberFormat="1" applyFill="1" applyBorder="1" applyAlignment="1">
      <alignment horizontal="left" vertical="center" wrapText="1" indent="1"/>
    </xf>
    <xf numFmtId="0" fontId="0" fillId="6" borderId="3" xfId="0" applyNumberFormat="1" applyFill="1" applyBorder="1" applyAlignment="1">
      <alignment vertical="center" wrapText="1"/>
    </xf>
    <xf numFmtId="49" fontId="0" fillId="6" borderId="3" xfId="0" applyFill="1" applyBorder="1" applyAlignment="1">
      <alignment horizontal="center" vertical="center"/>
    </xf>
    <xf numFmtId="0" fontId="0" fillId="6" borderId="3" xfId="0" applyNumberFormat="1" applyFill="1" applyBorder="1" applyAlignment="1">
      <alignment horizontal="center" vertical="center" wrapText="1"/>
    </xf>
    <xf numFmtId="0" fontId="0" fillId="6" borderId="0" xfId="0" applyNumberFormat="1" applyFill="1" applyAlignment="1"/>
    <xf numFmtId="0" fontId="0" fillId="6" borderId="0" xfId="0" applyNumberFormat="1" applyFill="1" applyAlignment="1">
      <alignment horizontal="center"/>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7" fillId="6" borderId="0" xfId="0" applyNumberFormat="1" applyFont="1" applyFill="1" applyAlignment="1">
      <alignment horizontal="center" vertical="center"/>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Font="1" applyFill="1" applyBorder="1" applyAlignment="1">
      <alignment horizontal="center" vertical="center" wrapText="1"/>
    </xf>
    <xf numFmtId="0" fontId="52" fillId="0" borderId="0" xfId="0" applyNumberFormat="1" applyFont="1" applyAlignment="1">
      <alignment horizontal="center" vertical="center" wrapText="1"/>
    </xf>
    <xf numFmtId="49" fontId="46" fillId="0" borderId="3" xfId="0"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Font="1" applyBorder="1" applyAlignment="1">
      <alignment horizontal="left" vertical="center" wrapText="1"/>
    </xf>
    <xf numFmtId="0" fontId="20" fillId="6" borderId="0" xfId="0" applyNumberFormat="1" applyFont="1" applyFill="1" applyAlignment="1"/>
    <xf numFmtId="0" fontId="20" fillId="6" borderId="0" xfId="0" applyNumberFormat="1" applyFont="1" applyFill="1" applyAlignment="1">
      <alignment vertical="center" wrapText="1"/>
    </xf>
    <xf numFmtId="14"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Font="1" applyAlignment="1">
      <alignment horizontal="left" vertical="center" wrapText="1"/>
    </xf>
    <xf numFmtId="49" fontId="26" fillId="0" borderId="3" xfId="0" applyFont="1" applyBorder="1" applyAlignment="1">
      <alignment horizontal="left" vertical="center" wrapText="1"/>
    </xf>
    <xf numFmtId="14" fontId="2" fillId="11" borderId="3" xfId="0" applyNumberFormat="1" applyFont="1" applyFill="1" applyBorder="1" applyAlignment="1">
      <alignment horizontal="center" vertical="center" wrapText="1"/>
    </xf>
    <xf numFmtId="49" fontId="2" fillId="11" borderId="3" xfId="0" applyFont="1" applyFill="1" applyBorder="1" applyAlignment="1">
      <alignment horizontal="center" vertical="center" wrapText="1"/>
    </xf>
    <xf numFmtId="0" fontId="55" fillId="0" borderId="0" xfId="0" applyNumberFormat="1" applyFont="1" applyAlignment="1">
      <alignment horizontal="center" vertical="center" wrapText="1"/>
    </xf>
    <xf numFmtId="0" fontId="0" fillId="6" borderId="5" xfId="0" applyNumberFormat="1" applyFill="1" applyBorder="1" applyAlignment="1">
      <alignment horizontal="left" vertical="center" wrapText="1"/>
    </xf>
    <xf numFmtId="49" fontId="22" fillId="8" borderId="6" xfId="0" applyFont="1" applyFill="1" applyBorder="1" applyAlignment="1">
      <alignment horizontal="center" vertical="center"/>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Font="1" applyAlignment="1">
      <alignment horizontal="center" vertical="center" wrapText="1"/>
    </xf>
    <xf numFmtId="49" fontId="2" fillId="0" borderId="0" xfId="0" applyFont="1" applyAlignment="1">
      <alignment horizontal="center" vertical="top" wrapText="1"/>
    </xf>
    <xf numFmtId="49" fontId="2" fillId="10" borderId="3" xfId="0"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Font="1" applyAlignment="1">
      <alignment horizontal="center" vertical="center" wrapText="1"/>
    </xf>
    <xf numFmtId="49" fontId="46" fillId="0" borderId="20" xfId="0"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58"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Font="1" applyFill="1" applyBorder="1" applyAlignment="1">
      <alignment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59" fillId="0" borderId="0" xfId="0" applyNumberFormat="1" applyFont="1" applyAlignment="1">
      <alignment vertical="center"/>
    </xf>
    <xf numFmtId="49" fontId="7" fillId="0" borderId="0" xfId="0" applyFont="1" applyAlignment="1">
      <alignment horizontal="center" vertical="center" wrapText="1"/>
    </xf>
    <xf numFmtId="49" fontId="7" fillId="0" borderId="3" xfId="0" applyFont="1" applyBorder="1" applyAlignment="1">
      <alignment horizontal="center" vertical="center" wrapText="1"/>
    </xf>
    <xf numFmtId="0" fontId="20" fillId="0" borderId="0" xfId="0" applyNumberFormat="1" applyFont="1" applyAlignment="1">
      <alignment horizontal="center" vertical="center"/>
    </xf>
    <xf numFmtId="0" fontId="2" fillId="8" borderId="5" xfId="0" applyNumberFormat="1" applyFont="1" applyFill="1" applyBorder="1" applyAlignment="1">
      <alignment horizontal="center" vertical="center" wrapText="1"/>
    </xf>
    <xf numFmtId="0" fontId="0" fillId="8" borderId="4" xfId="0" applyNumberFormat="1" applyFill="1" applyBorder="1" applyAlignment="1">
      <alignment vertical="center"/>
    </xf>
    <xf numFmtId="49" fontId="2" fillId="0" borderId="8" xfId="0" applyFont="1" applyBorder="1" applyAlignment="1">
      <alignment horizontal="center" vertical="center" wrapText="1"/>
    </xf>
    <xf numFmtId="49" fontId="48" fillId="0" borderId="3" xfId="0" applyFont="1" applyBorder="1" applyAlignment="1">
      <alignment horizontal="left" vertical="center" wrapText="1" indent="1"/>
    </xf>
    <xf numFmtId="0" fontId="47" fillId="0" borderId="0" xfId="0" applyNumberFormat="1" applyFont="1" applyAlignment="1">
      <alignment vertical="center"/>
    </xf>
    <xf numFmtId="49" fontId="12" fillId="8" borderId="4" xfId="0" applyFont="1" applyFill="1" applyBorder="1" applyAlignment="1">
      <alignment horizontal="left" vertical="center" indent="1"/>
    </xf>
    <xf numFmtId="49" fontId="22" fillId="8" borderId="4" xfId="0" applyFont="1" applyFill="1" applyBorder="1" applyAlignment="1">
      <alignment horizontal="right" vertical="center" wrapText="1"/>
    </xf>
    <xf numFmtId="0" fontId="48" fillId="13" borderId="0" xfId="0" applyNumberFormat="1" applyFont="1" applyFill="1">
      <alignment vertical="top"/>
    </xf>
    <xf numFmtId="49" fontId="3" fillId="0" borderId="0" xfId="0" applyFont="1" applyAlignment="1">
      <alignment horizontal="center" vertical="center" wrapText="1"/>
    </xf>
    <xf numFmtId="0" fontId="22" fillId="0" borderId="0" xfId="0" applyNumberFormat="1" applyFont="1" applyAlignment="1">
      <alignment horizontal="center" vertical="center" wrapText="1"/>
    </xf>
    <xf numFmtId="9" fontId="22" fillId="0" borderId="0" xfId="0" applyNumberFormat="1" applyFont="1" applyAlignment="1">
      <alignment horizontal="center" vertical="center" wrapText="1"/>
    </xf>
    <xf numFmtId="49" fontId="36" fillId="0" borderId="0" xfId="0" applyFont="1" applyAlignment="1">
      <alignment horizontal="center" vertical="center" wrapText="1"/>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5" borderId="3" xfId="0" applyNumberFormat="1" applyFill="1" applyBorder="1" applyAlignment="1">
      <alignment horizontal="right" vertical="center" wrapText="1"/>
    </xf>
    <xf numFmtId="49" fontId="0" fillId="0" borderId="21" xfId="0" applyBorder="1" applyAlignment="1">
      <alignment horizontal="center" vertical="center" wrapText="1"/>
    </xf>
    <xf numFmtId="49" fontId="0" fillId="10" borderId="3" xfId="0"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Fill="1" applyBorder="1" applyAlignment="1">
      <alignment horizontal="center" vertical="center"/>
    </xf>
    <xf numFmtId="49" fontId="0" fillId="8" borderId="6" xfId="0" applyFill="1" applyBorder="1" applyAlignment="1">
      <alignment horizontal="center" vertical="center"/>
    </xf>
    <xf numFmtId="0" fontId="12" fillId="0" borderId="3" xfId="0" applyNumberFormat="1" applyFont="1" applyBorder="1" applyAlignment="1">
      <alignment horizontal="left" vertical="center" indent="1"/>
    </xf>
    <xf numFmtId="0" fontId="17" fillId="0" borderId="0" xfId="0" applyNumberFormat="1" applyFont="1" applyAlignment="1">
      <alignment horizontal="right" vertical="top" wrapText="1"/>
    </xf>
    <xf numFmtId="0" fontId="2" fillId="0" borderId="0" xfId="0" applyNumberFormat="1" applyFont="1" applyAlignment="1">
      <alignment horizontal="left" vertical="top" wrapText="1"/>
    </xf>
    <xf numFmtId="4" fontId="2" fillId="0" borderId="3" xfId="0" applyNumberFormat="1" applyFont="1" applyBorder="1" applyAlignment="1">
      <alignment horizontal="center" vertical="center" wrapText="1"/>
    </xf>
    <xf numFmtId="49" fontId="26" fillId="7" borderId="5" xfId="0"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Font="1" applyBorder="1" applyAlignment="1">
      <alignment horizontal="center" vertical="center" wrapText="1"/>
    </xf>
    <xf numFmtId="0" fontId="2" fillId="0" borderId="22" xfId="0" applyNumberFormat="1" applyFont="1" applyBorder="1" applyAlignment="1">
      <alignment horizontal="left" vertical="center" wrapText="1" indent="2"/>
    </xf>
    <xf numFmtId="49" fontId="2" fillId="0" borderId="0" xfId="0" applyFont="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Border="1" applyAlignment="1">
      <alignment horizontal="center" vertical="center"/>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0" borderId="0" xfId="0" applyNumberFormat="1" applyFont="1" applyAlignment="1">
      <alignment vertical="center" wrapTex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19" fillId="0" borderId="0" xfId="0" applyNumberFormat="1" applyFont="1" applyAlignment="1">
      <alignment horizontal="center" vertical="top"/>
    </xf>
    <xf numFmtId="49" fontId="2" fillId="11" borderId="3" xfId="0"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Font="1" applyBorder="1" applyAlignment="1">
      <alignment horizontal="center" vertical="center" wrapText="1"/>
    </xf>
    <xf numFmtId="0" fontId="2" fillId="0" borderId="26" xfId="0" applyNumberFormat="1" applyFont="1" applyBorder="1" applyAlignment="1">
      <alignment horizontal="left" vertical="center" wrapText="1"/>
    </xf>
    <xf numFmtId="170" fontId="2" fillId="5" borderId="3" xfId="0" applyNumberFormat="1" applyFont="1" applyFill="1" applyBorder="1" applyAlignment="1">
      <alignment horizontal="right" vertical="center" wrapText="1"/>
    </xf>
    <xf numFmtId="49" fontId="64" fillId="10" borderId="3" xfId="0"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Border="1">
      <alignment vertical="top"/>
    </xf>
    <xf numFmtId="49" fontId="0" fillId="4" borderId="3" xfId="0" applyFill="1" applyBorder="1">
      <alignment vertical="top"/>
    </xf>
    <xf numFmtId="49" fontId="0" fillId="4" borderId="8" xfId="0" applyFill="1" applyBorder="1">
      <alignment vertical="top"/>
    </xf>
    <xf numFmtId="49" fontId="0" fillId="14"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49" fontId="0" fillId="3" borderId="3" xfId="0" applyFill="1" applyBorder="1">
      <alignment vertical="top"/>
    </xf>
    <xf numFmtId="49" fontId="0" fillId="15" borderId="3" xfId="0" applyFill="1" applyBorder="1">
      <alignment vertical="top"/>
    </xf>
    <xf numFmtId="49" fontId="0" fillId="2" borderId="3" xfId="0" applyFill="1" applyBorder="1">
      <alignment vertical="top"/>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ill="1" applyAlignment="1">
      <alignment horizontal="right" vertical="center" wrapText="1" indent="1"/>
    </xf>
    <xf numFmtId="0" fontId="0" fillId="6" borderId="0" xfId="0" applyNumberForma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Fill="1" applyBorder="1">
      <alignment vertical="top"/>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14" fontId="67" fillId="0" borderId="3" xfId="0" applyNumberFormat="1" applyFont="1" applyBorder="1" applyAlignment="1">
      <alignment horizontal="left" vertical="center" wrapText="1"/>
    </xf>
    <xf numFmtId="49" fontId="2" fillId="8" borderId="10" xfId="0" applyFont="1" applyFill="1" applyBorder="1" applyAlignment="1">
      <alignment horizontal="center" vertical="center" wrapText="1"/>
    </xf>
    <xf numFmtId="49" fontId="2" fillId="5" borderId="14" xfId="0" applyFont="1" applyFill="1" applyBorder="1" applyAlignment="1">
      <alignment horizontal="center" vertical="center" wrapText="1"/>
    </xf>
    <xf numFmtId="49" fontId="19" fillId="0" borderId="3" xfId="0"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Font="1" applyBorder="1" applyAlignment="1">
      <alignment horizontal="center" vertical="top"/>
    </xf>
    <xf numFmtId="49" fontId="2" fillId="0" borderId="3" xfId="0" applyFont="1" applyBorder="1" applyAlignment="1">
      <alignment horizontal="center" vertical="top"/>
    </xf>
    <xf numFmtId="49" fontId="2" fillId="0" borderId="5" xfId="0"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49" fontId="48" fillId="10" borderId="3" xfId="0"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0" fontId="26"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54" fillId="0" borderId="8" xfId="0" applyNumberFormat="1" applyFont="1" applyBorder="1" applyAlignment="1">
      <alignment horizontal="center" vertical="center" wrapText="1"/>
    </xf>
    <xf numFmtId="0" fontId="68" fillId="0" borderId="0" xfId="0" applyNumberFormat="1" applyFont="1" applyAlignment="1">
      <alignment vertical="center" wrapText="1"/>
    </xf>
    <xf numFmtId="49" fontId="69" fillId="0" borderId="0" xfId="0" applyFont="1" applyAlignment="1">
      <alignment horizontal="center" vertical="top" wrapText="1"/>
    </xf>
    <xf numFmtId="49" fontId="69" fillId="0" borderId="0" xfId="0" applyFont="1" applyAlignment="1">
      <alignment vertical="top" wrapText="1"/>
    </xf>
    <xf numFmtId="49" fontId="65" fillId="12" borderId="3" xfId="0" applyFont="1" applyFill="1" applyBorder="1" applyAlignment="1">
      <alignment horizontal="center" vertical="top" wrapText="1"/>
    </xf>
    <xf numFmtId="49" fontId="69" fillId="0" borderId="0" xfId="0" applyFont="1" applyAlignment="1">
      <alignment horizontal="left" vertical="top" wrapText="1"/>
    </xf>
    <xf numFmtId="49" fontId="69" fillId="0" borderId="3" xfId="0"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Font="1" applyFill="1" applyBorder="1" applyAlignment="1">
      <alignment horizontal="center" vertical="center" wrapText="1"/>
    </xf>
    <xf numFmtId="49" fontId="43" fillId="8" borderId="4" xfId="0" applyFont="1" applyFill="1" applyBorder="1" applyAlignment="1">
      <alignment vertical="center"/>
    </xf>
    <xf numFmtId="49" fontId="2" fillId="6" borderId="0" xfId="0"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Fill="1" applyBorder="1" applyAlignment="1" applyProtection="1">
      <alignment horizontal="left" vertical="center" wrapText="1" indent="1"/>
      <protection locked="0"/>
    </xf>
    <xf numFmtId="49" fontId="2" fillId="10" borderId="3" xfId="0" quotePrefix="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49" fontId="19" fillId="0" borderId="0" xfId="0" applyFont="1" applyAlignment="1">
      <alignment vertical="center" wrapText="1"/>
    </xf>
    <xf numFmtId="0" fontId="70" fillId="0" borderId="0" xfId="0" applyNumberFormat="1" applyFont="1" applyAlignment="1">
      <alignment vertical="center" wrapText="1"/>
    </xf>
    <xf numFmtId="0" fontId="61" fillId="0" borderId="0" xfId="0" applyNumberFormat="1" applyFont="1" applyAlignment="1">
      <alignment horizontal="center" vertical="center" wrapText="1"/>
    </xf>
    <xf numFmtId="14" fontId="2" fillId="6" borderId="0" xfId="0" applyNumberFormat="1" applyFont="1" applyFill="1" applyAlignment="1">
      <alignment horizontal="left" vertical="center" wrapText="1"/>
    </xf>
    <xf numFmtId="49" fontId="0" fillId="3" borderId="5" xfId="0" applyFill="1" applyBorder="1">
      <alignment vertical="top"/>
    </xf>
    <xf numFmtId="49" fontId="0" fillId="0" borderId="3" xfId="0" applyBorder="1" applyAlignment="1">
      <alignment horizontal="left" vertical="center" wrapText="1"/>
    </xf>
    <xf numFmtId="0" fontId="0" fillId="10" borderId="5" xfId="0" applyNumberForma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Font="1" applyBorder="1" applyAlignment="1">
      <alignment horizontal="left" vertical="top" wrapText="1"/>
    </xf>
    <xf numFmtId="49" fontId="69" fillId="0" borderId="5" xfId="0"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Font="1" applyBorder="1" applyAlignment="1">
      <alignment horizontal="left" vertical="top" wrapText="1"/>
    </xf>
    <xf numFmtId="49" fontId="69" fillId="0" borderId="3" xfId="0"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Font="1" applyBorder="1" applyAlignment="1">
      <alignment horizontal="center" vertical="top" wrapText="1"/>
    </xf>
    <xf numFmtId="49" fontId="69" fillId="0" borderId="8" xfId="0" applyFont="1" applyBorder="1" applyAlignment="1">
      <alignment horizontal="center" vertical="top" wrapText="1"/>
    </xf>
    <xf numFmtId="0" fontId="0" fillId="6" borderId="8"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Font="1" applyAlignment="1">
      <alignment horizontal="center" vertical="center" wrapText="1"/>
    </xf>
    <xf numFmtId="0" fontId="2" fillId="0" borderId="29" xfId="0" applyNumberFormat="1" applyFont="1" applyBorder="1" applyAlignment="1">
      <alignment vertical="center" wrapText="1"/>
    </xf>
    <xf numFmtId="0" fontId="0" fillId="6" borderId="28" xfId="0" applyNumberFormat="1" applyFill="1" applyBorder="1" applyAlignment="1">
      <alignment horizontal="center" vertical="center" wrapText="1"/>
    </xf>
    <xf numFmtId="0" fontId="2" fillId="8" borderId="21"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Font="1" applyBorder="1">
      <alignment vertical="top"/>
    </xf>
    <xf numFmtId="49" fontId="17" fillId="0" borderId="0" xfId="0" applyFont="1" applyAlignment="1">
      <alignment vertical="center"/>
    </xf>
    <xf numFmtId="49" fontId="73" fillId="0" borderId="0" xfId="0" applyFont="1" applyAlignment="1">
      <alignment vertical="center"/>
    </xf>
    <xf numFmtId="49" fontId="17" fillId="0" borderId="0" xfId="0" applyFont="1" applyAlignment="1">
      <alignment vertical="center" wrapText="1"/>
    </xf>
    <xf numFmtId="49" fontId="73" fillId="0" borderId="0" xfId="0" applyFont="1" applyAlignment="1">
      <alignment vertical="center" wrapText="1"/>
    </xf>
    <xf numFmtId="49" fontId="17" fillId="0" borderId="0" xfId="0" applyFont="1" applyAlignment="1">
      <alignment horizontal="center" vertical="center" wrapText="1"/>
    </xf>
    <xf numFmtId="49" fontId="73" fillId="0" borderId="0" xfId="0"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Font="1" applyFill="1" applyAlignment="1">
      <alignment vertical="center" wrapText="1"/>
    </xf>
    <xf numFmtId="49" fontId="17" fillId="6" borderId="0" xfId="0" applyFont="1" applyFill="1" applyAlignment="1">
      <alignment vertical="center"/>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20" fillId="0" borderId="4" xfId="0" applyFont="1" applyBorder="1" applyAlignment="1">
      <alignment horizontal="left" vertical="center" indent="1"/>
    </xf>
    <xf numFmtId="0" fontId="2" fillId="0" borderId="15" xfId="0" applyNumberFormat="1" applyFont="1" applyBorder="1" applyAlignment="1">
      <alignment vertical="top" wrapText="1"/>
    </xf>
    <xf numFmtId="49" fontId="65" fillId="0" borderId="3" xfId="0"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Font="1" applyBorder="1" applyAlignment="1">
      <alignment horizontal="center" vertical="center" wrapText="1"/>
    </xf>
    <xf numFmtId="49" fontId="65" fillId="0" borderId="14" xfId="0"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Font="1" applyBorder="1" applyAlignment="1">
      <alignment horizontal="center" vertical="top" wrapText="1"/>
    </xf>
    <xf numFmtId="49" fontId="69" fillId="0" borderId="27" xfId="0"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11" xfId="0" applyNumberFormat="1" applyFont="1" applyBorder="1" applyAlignment="1">
      <alignment horizontal="center" vertical="center" wrapText="1"/>
    </xf>
    <xf numFmtId="49" fontId="2" fillId="8" borderId="28" xfId="0" applyFont="1" applyFill="1" applyBorder="1" applyAlignment="1">
      <alignment vertical="center" wrapText="1"/>
    </xf>
    <xf numFmtId="49" fontId="12" fillId="8" borderId="10" xfId="0"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Font="1" applyFill="1" applyBorder="1" applyAlignment="1">
      <alignment horizontal="center" vertical="top"/>
    </xf>
    <xf numFmtId="49" fontId="69" fillId="0" borderId="0" xfId="0" applyFont="1">
      <alignment vertical="top"/>
    </xf>
    <xf numFmtId="49" fontId="65" fillId="0" borderId="3" xfId="0" applyFont="1" applyBorder="1" applyAlignment="1">
      <alignment horizontal="center" vertical="top" wrapText="1"/>
    </xf>
    <xf numFmtId="49" fontId="65" fillId="0" borderId="3" xfId="0" applyFont="1" applyBorder="1" applyAlignment="1">
      <alignment vertical="top" wrapText="1"/>
    </xf>
    <xf numFmtId="0" fontId="65" fillId="0" borderId="3" xfId="0" applyNumberFormat="1" applyFont="1" applyBorder="1" applyAlignment="1">
      <alignment vertical="top" wrapText="1"/>
    </xf>
    <xf numFmtId="49" fontId="65" fillId="0" borderId="3" xfId="0" applyFont="1" applyBorder="1">
      <alignment vertical="top"/>
    </xf>
    <xf numFmtId="49" fontId="69" fillId="0" borderId="3" xfId="0" applyFont="1" applyBorder="1">
      <alignment vertical="top"/>
    </xf>
    <xf numFmtId="49" fontId="65" fillId="0" borderId="0" xfId="0" applyFont="1" applyAlignment="1">
      <alignment horizontal="center" vertical="center" wrapText="1"/>
    </xf>
    <xf numFmtId="49" fontId="65" fillId="0" borderId="0" xfId="0" applyFont="1" applyAlignment="1">
      <alignment horizontal="left" vertical="center" wrapText="1"/>
    </xf>
    <xf numFmtId="49" fontId="65" fillId="17" borderId="0" xfId="0"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Font="1" applyBorder="1" applyAlignment="1">
      <alignment vertical="center"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Font="1" applyFill="1" applyBorder="1" applyAlignment="1">
      <alignment horizontal="center" vertical="top" wrapText="1"/>
    </xf>
    <xf numFmtId="49" fontId="69" fillId="12" borderId="3" xfId="0" applyFont="1" applyFill="1" applyBorder="1" applyAlignment="1">
      <alignment horizontal="left" vertical="top" wrapText="1"/>
    </xf>
    <xf numFmtId="49" fontId="69" fillId="12" borderId="0" xfId="0" applyFont="1" applyFill="1" applyAlignment="1">
      <alignment horizontal="left" vertical="top" wrapText="1"/>
    </xf>
    <xf numFmtId="0" fontId="65" fillId="0" borderId="5" xfId="0" applyNumberFormat="1" applyFont="1" applyBorder="1" applyAlignment="1">
      <alignment horizontal="center" vertical="center" wrapText="1"/>
    </xf>
    <xf numFmtId="0" fontId="65" fillId="0" borderId="5" xfId="0" applyNumberFormat="1" applyFont="1" applyBorder="1" applyAlignment="1">
      <alignment horizontal="center" vertical="center"/>
    </xf>
    <xf numFmtId="49" fontId="20" fillId="6" borderId="3" xfId="0"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6" borderId="3" xfId="0" applyNumberFormat="1" applyFont="1" applyFill="1" applyBorder="1" applyAlignment="1">
      <alignment horizontal="left" vertical="center" wrapText="1" indent="2"/>
    </xf>
    <xf numFmtId="49" fontId="20" fillId="0" borderId="3" xfId="0"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0" fontId="20" fillId="0" borderId="19" xfId="0" applyNumberFormat="1" applyFont="1" applyBorder="1" applyAlignment="1">
      <alignment vertical="center" wrapText="1"/>
    </xf>
    <xf numFmtId="49" fontId="26" fillId="0" borderId="5" xfId="0" applyFont="1" applyBorder="1" applyAlignment="1">
      <alignment horizontal="left" vertical="center" wrapText="1"/>
    </xf>
    <xf numFmtId="49" fontId="26" fillId="0" borderId="6" xfId="0" applyFont="1" applyBorder="1" applyAlignment="1">
      <alignment horizontal="left"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Font="1" applyBorder="1" applyAlignment="1">
      <alignment horizontal="left" vertical="center" wrapText="1"/>
    </xf>
    <xf numFmtId="49" fontId="26" fillId="0" borderId="18" xfId="0"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49" fontId="20" fillId="0" borderId="5" xfId="0" applyFont="1" applyBorder="1" applyAlignment="1">
      <alignment horizontal="left" vertical="center"/>
    </xf>
    <xf numFmtId="49" fontId="20" fillId="0" borderId="6" xfId="0" applyFont="1" applyBorder="1" applyAlignment="1">
      <alignment horizontal="left" vertical="center" indent="1"/>
    </xf>
    <xf numFmtId="49" fontId="20" fillId="0" borderId="6" xfId="0"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34" fillId="6" borderId="0" xfId="0" applyNumberFormat="1" applyFont="1" applyFill="1" applyAlignment="1">
      <alignment horizontal="left" vertical="center" wrapText="1" indent="1"/>
    </xf>
    <xf numFmtId="49" fontId="26" fillId="7" borderId="4" xfId="0" applyFont="1" applyFill="1" applyBorder="1" applyAlignment="1" applyProtection="1">
      <alignment horizontal="left" vertical="center" wrapText="1"/>
      <protection locked="0"/>
    </xf>
    <xf numFmtId="0" fontId="2" fillId="0" borderId="19" xfId="0" applyNumberFormat="1" applyFont="1" applyBorder="1" applyAlignment="1">
      <alignment vertical="center" wrapText="1"/>
    </xf>
    <xf numFmtId="49" fontId="2" fillId="8" borderId="32" xfId="0" applyFont="1" applyFill="1" applyBorder="1" applyAlignment="1">
      <alignment horizontal="center" vertical="center" wrapText="1"/>
    </xf>
    <xf numFmtId="49" fontId="22" fillId="8" borderId="33" xfId="0" applyFont="1" applyFill="1" applyBorder="1" applyAlignment="1">
      <alignment horizontal="right" vertical="center" wrapText="1"/>
    </xf>
    <xf numFmtId="49" fontId="22" fillId="8" borderId="34" xfId="0" applyFont="1" applyFill="1" applyBorder="1" applyAlignment="1">
      <alignment horizontal="right" vertical="center" wrapText="1"/>
    </xf>
    <xf numFmtId="49" fontId="68" fillId="0" borderId="0" xfId="0" applyFont="1" applyAlignment="1">
      <alignment vertical="center" wrapText="1"/>
    </xf>
    <xf numFmtId="49" fontId="0" fillId="0" borderId="0" xfId="0" applyAlignment="1">
      <alignment vertical="center" wrapText="1"/>
    </xf>
    <xf numFmtId="49" fontId="3" fillId="18" borderId="0" xfId="0" applyFont="1" applyFill="1" applyAlignment="1">
      <alignment horizontal="center" vertical="center"/>
    </xf>
    <xf numFmtId="0" fontId="0" fillId="19" borderId="0" xfId="0" applyNumberFormat="1" applyFill="1" applyAlignment="1">
      <alignment horizontal="left" vertical="center"/>
    </xf>
    <xf numFmtId="0" fontId="0" fillId="20" borderId="3" xfId="0" applyNumberFormat="1" applyFill="1" applyBorder="1" applyAlignment="1">
      <alignment horizontal="center" vertical="center"/>
    </xf>
    <xf numFmtId="49" fontId="19" fillId="18" borderId="3" xfId="0" applyFont="1" applyFill="1" applyBorder="1" applyAlignment="1">
      <alignment horizontal="center" vertical="center"/>
    </xf>
    <xf numFmtId="49" fontId="19" fillId="21" borderId="3" xfId="0" applyFont="1" applyFill="1" applyBorder="1" applyAlignment="1">
      <alignment horizontal="center" vertical="center"/>
    </xf>
    <xf numFmtId="49" fontId="0" fillId="22" borderId="3" xfId="0" applyFill="1" applyBorder="1" applyAlignment="1">
      <alignment horizontal="center" vertical="center"/>
    </xf>
    <xf numFmtId="0" fontId="2" fillId="0" borderId="3" xfId="0" applyNumberFormat="1" applyFont="1" applyBorder="1" applyAlignment="1">
      <alignment vertical="center"/>
    </xf>
    <xf numFmtId="0" fontId="0" fillId="0" borderId="3" xfId="0" applyNumberFormat="1" applyBorder="1" applyAlignment="1">
      <alignment vertical="center"/>
    </xf>
    <xf numFmtId="49" fontId="2" fillId="0" borderId="35" xfId="0" applyFont="1" applyBorder="1" applyAlignment="1">
      <alignment vertical="center"/>
    </xf>
    <xf numFmtId="49" fontId="2"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2" fillId="0" borderId="4" xfId="0" applyNumberFormat="1" applyFont="1" applyBorder="1" applyAlignment="1">
      <alignment vertical="center"/>
    </xf>
    <xf numFmtId="49" fontId="2" fillId="0" borderId="3" xfId="0" applyFont="1" applyBorder="1" applyAlignment="1">
      <alignment vertical="center"/>
    </xf>
    <xf numFmtId="0" fontId="2" fillId="0" borderId="3" xfId="0" applyNumberFormat="1" applyFont="1" applyBorder="1">
      <alignment vertical="top"/>
    </xf>
    <xf numFmtId="49" fontId="2" fillId="0" borderId="3" xfId="0" applyFont="1" applyBorder="1">
      <alignment vertical="top"/>
    </xf>
    <xf numFmtId="49" fontId="2" fillId="0" borderId="5" xfId="0" applyFont="1" applyBorder="1">
      <alignment vertical="top"/>
    </xf>
    <xf numFmtId="0" fontId="0" fillId="0" borderId="8" xfId="0" applyNumberFormat="1" applyBorder="1">
      <alignment vertical="top"/>
    </xf>
    <xf numFmtId="0" fontId="2" fillId="0" borderId="8" xfId="0" applyNumberFormat="1" applyFont="1" applyBorder="1" applyAlignment="1">
      <alignment vertical="center"/>
    </xf>
    <xf numFmtId="49" fontId="2" fillId="0" borderId="22" xfId="0" applyFont="1" applyBorder="1" applyAlignment="1">
      <alignment horizontal="center" vertical="center"/>
    </xf>
    <xf numFmtId="49" fontId="0" fillId="7"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5"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76"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3" fillId="18" borderId="3" xfId="0" applyFont="1" applyFill="1" applyBorder="1" applyAlignment="1">
      <alignment horizontal="right" vertical="center"/>
    </xf>
    <xf numFmtId="49" fontId="2" fillId="7" borderId="28" xfId="0" applyFont="1" applyFill="1" applyBorder="1" applyProtection="1">
      <alignment vertical="top"/>
      <protection locked="0"/>
    </xf>
    <xf numFmtId="49" fontId="2" fillId="12" borderId="14" xfId="0" applyFont="1" applyFill="1" applyBorder="1">
      <alignment vertical="top"/>
    </xf>
    <xf numFmtId="49" fontId="2" fillId="12" borderId="3" xfId="0" applyFont="1" applyFill="1" applyBorder="1">
      <alignment vertical="top"/>
    </xf>
    <xf numFmtId="0" fontId="0" fillId="0" borderId="23" xfId="0" applyNumberFormat="1" applyBorder="1" applyAlignment="1">
      <alignment horizontal="center" vertical="center"/>
    </xf>
    <xf numFmtId="0" fontId="0" fillId="0" borderId="22" xfId="0" applyNumberFormat="1" applyBorder="1" applyAlignment="1">
      <alignment horizontal="center" vertical="center"/>
    </xf>
    <xf numFmtId="49" fontId="3" fillId="18" borderId="5" xfId="0" applyFont="1" applyFill="1" applyBorder="1" applyAlignment="1">
      <alignment horizontal="right" vertical="center"/>
    </xf>
    <xf numFmtId="0" fontId="0" fillId="19" borderId="0" xfId="0" applyNumberForma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0" borderId="0" xfId="0" applyNumberFormat="1" applyFont="1" applyAlignment="1">
      <alignment horizontal="left" vertical="center" wrapText="1" indent="3"/>
    </xf>
    <xf numFmtId="49" fontId="19" fillId="18" borderId="0" xfId="0" applyFont="1" applyFill="1" applyAlignment="1">
      <alignment horizontal="center" vertical="center" wrapText="1"/>
    </xf>
    <xf numFmtId="49" fontId="78" fillId="0" borderId="7" xfId="0" applyFont="1" applyBorder="1">
      <alignment vertical="top"/>
    </xf>
    <xf numFmtId="0" fontId="2"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Font="1" applyFill="1" applyBorder="1" applyAlignment="1">
      <alignment horizontal="left" vertical="center" indent="1"/>
    </xf>
    <xf numFmtId="49" fontId="79" fillId="8" borderId="6" xfId="0" applyFont="1" applyFill="1" applyBorder="1" applyAlignment="1">
      <alignment horizontal="left" vertical="center" indent="1"/>
    </xf>
    <xf numFmtId="49" fontId="68" fillId="8" borderId="34" xfId="0" applyFont="1" applyFill="1" applyBorder="1" applyAlignment="1">
      <alignment horizontal="center" vertical="center"/>
    </xf>
    <xf numFmtId="49" fontId="79" fillId="8" borderId="34" xfId="0"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Font="1" applyFill="1" applyBorder="1" applyAlignment="1">
      <alignment vertical="top" wrapText="1"/>
    </xf>
    <xf numFmtId="49" fontId="17" fillId="8" borderId="4" xfId="0" applyFont="1" applyFill="1" applyBorder="1" applyAlignment="1">
      <alignment vertical="top" wrapText="1"/>
    </xf>
    <xf numFmtId="49" fontId="17" fillId="8" borderId="43" xfId="0" applyFont="1" applyFill="1" applyBorder="1" applyAlignment="1">
      <alignment vertical="top" wrapText="1"/>
    </xf>
    <xf numFmtId="49" fontId="79" fillId="8" borderId="43" xfId="0" applyFont="1" applyFill="1" applyBorder="1" applyAlignment="1">
      <alignment horizontal="left" vertical="center" indent="1"/>
    </xf>
    <xf numFmtId="0" fontId="2" fillId="8" borderId="44" xfId="0" applyNumberFormat="1" applyFont="1" applyFill="1" applyBorder="1" applyAlignment="1">
      <alignment vertical="center" wrapText="1"/>
    </xf>
    <xf numFmtId="0" fontId="0" fillId="0" borderId="40" xfId="0" applyNumberForma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0" fillId="8" borderId="41" xfId="0" applyNumberFormat="1" applyFill="1" applyBorder="1" applyAlignment="1">
      <alignment horizontal="left" vertical="center"/>
    </xf>
    <xf numFmtId="49" fontId="7" fillId="0" borderId="3" xfId="0" applyFont="1" applyBorder="1" applyAlignment="1">
      <alignment horizontal="center" vertical="center"/>
    </xf>
    <xf numFmtId="49" fontId="7" fillId="12" borderId="3" xfId="0"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Font="1" applyBorder="1" applyAlignment="1">
      <alignment horizontal="center" vertical="center"/>
    </xf>
    <xf numFmtId="49" fontId="19" fillId="0" borderId="8" xfId="0" applyFont="1" applyBorder="1" applyAlignment="1">
      <alignment horizontal="center" vertical="center"/>
    </xf>
    <xf numFmtId="49" fontId="2" fillId="0" borderId="8" xfId="0"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47" xfId="0"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Font="1" applyFill="1" applyBorder="1" applyAlignment="1">
      <alignment horizontal="left" vertical="center" indent="1"/>
    </xf>
    <xf numFmtId="49" fontId="12" fillId="8" borderId="42" xfId="0" applyFont="1" applyFill="1" applyBorder="1" applyAlignment="1">
      <alignment horizontal="left" vertical="center" indent="1"/>
    </xf>
    <xf numFmtId="49" fontId="12" fillId="23" borderId="4" xfId="0" applyFont="1" applyFill="1" applyBorder="1" applyAlignment="1">
      <alignment horizontal="left" vertical="center" indent="1"/>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0" fontId="2" fillId="6" borderId="3" xfId="0" applyNumberFormat="1" applyFont="1" applyFill="1" applyBorder="1" applyAlignment="1">
      <alignment horizontal="left" vertical="center" wrapText="1"/>
    </xf>
    <xf numFmtId="0" fontId="2" fillId="6" borderId="10" xfId="0" applyNumberFormat="1" applyFont="1" applyFill="1" applyBorder="1" applyAlignment="1">
      <alignment vertical="center" wrapText="1"/>
    </xf>
    <xf numFmtId="0" fontId="20" fillId="0" borderId="30" xfId="0" applyNumberFormat="1" applyFont="1" applyBorder="1" applyAlignment="1">
      <alignment vertical="center" wrapText="1"/>
    </xf>
    <xf numFmtId="49" fontId="0" fillId="5" borderId="3" xfId="0" applyFill="1" applyBorder="1" applyAlignment="1">
      <alignment horizontal="center" vertical="center"/>
    </xf>
    <xf numFmtId="49" fontId="2" fillId="0" borderId="13" xfId="0" applyFont="1" applyBorder="1">
      <alignment vertical="top"/>
    </xf>
    <xf numFmtId="0" fontId="2" fillId="0" borderId="13" xfId="0" applyNumberFormat="1" applyFont="1" applyBorder="1" applyAlignment="1">
      <alignment vertical="center" wrapText="1"/>
    </xf>
    <xf numFmtId="4" fontId="0" fillId="7"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2" fillId="0" borderId="29" xfId="0" applyNumberFormat="1" applyFont="1" applyBorder="1" applyAlignment="1">
      <alignment vertical="center"/>
    </xf>
    <xf numFmtId="49" fontId="2" fillId="10" borderId="8" xfId="0" applyFont="1" applyFill="1" applyBorder="1" applyAlignment="1" applyProtection="1">
      <alignment horizontal="left" vertical="center" wrapText="1" indent="1"/>
      <protection locked="0"/>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49" fontId="20" fillId="6" borderId="0" xfId="0" applyFont="1" applyFill="1" applyAlignment="1">
      <alignment horizontal="center" vertical="center" wrapText="1"/>
    </xf>
    <xf numFmtId="0" fontId="55" fillId="0" borderId="0" xfId="0" applyNumberFormat="1" applyFont="1" applyAlignment="1">
      <alignment vertical="center" wrapText="1"/>
    </xf>
    <xf numFmtId="4" fontId="0" fillId="6" borderId="5" xfId="0" applyNumberForma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Font="1" applyFill="1" applyBorder="1" applyAlignment="1">
      <alignment horizontal="center" vertical="center" wrapText="1"/>
    </xf>
    <xf numFmtId="0" fontId="20" fillId="0" borderId="0" xfId="0" applyNumberFormat="1" applyFont="1" applyAlignment="1">
      <alignment vertical="top" wrapText="1"/>
    </xf>
    <xf numFmtId="0" fontId="81" fillId="6" borderId="0" xfId="0" applyNumberFormat="1" applyFont="1" applyFill="1" applyAlignment="1">
      <alignment vertical="center" wrapText="1"/>
    </xf>
    <xf numFmtId="49" fontId="53" fillId="6" borderId="10" xfId="0"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Font="1" applyAlignment="1">
      <alignment horizontal="left" vertical="center"/>
    </xf>
    <xf numFmtId="49" fontId="2" fillId="0" borderId="0" xfId="0"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82" fillId="0" borderId="0" xfId="0" applyNumberFormat="1" applyFont="1" applyAlignment="1">
      <alignment vertical="center"/>
    </xf>
    <xf numFmtId="0" fontId="2" fillId="0" borderId="0" xfId="0" applyNumberFormat="1" applyFont="1" applyAlignment="1">
      <alignment horizontal="left" vertical="center" indent="1"/>
    </xf>
    <xf numFmtId="49" fontId="83" fillId="8" borderId="6" xfId="0" applyFont="1" applyFill="1" applyBorder="1" applyAlignment="1">
      <alignment horizontal="left" vertical="center" indent="3"/>
    </xf>
    <xf numFmtId="49" fontId="46" fillId="8" borderId="6" xfId="0" applyFont="1" applyFill="1" applyBorder="1" applyAlignment="1">
      <alignment horizontal="center" vertical="center" wrapText="1"/>
    </xf>
    <xf numFmtId="49" fontId="40" fillId="8" borderId="6" xfId="0" applyFont="1" applyFill="1" applyBorder="1" applyAlignment="1">
      <alignment horizontal="center" vertical="center" wrapText="1"/>
    </xf>
    <xf numFmtId="49" fontId="40" fillId="8" borderId="4" xfId="0" applyFont="1" applyFill="1" applyBorder="1" applyAlignment="1">
      <alignment horizontal="center" vertical="center" wrapText="1"/>
    </xf>
    <xf numFmtId="49" fontId="83" fillId="8" borderId="6" xfId="0" applyFont="1" applyFill="1" applyBorder="1" applyAlignment="1">
      <alignment horizontal="left" vertical="center" indent="2"/>
    </xf>
    <xf numFmtId="49" fontId="83" fillId="8" borderId="6" xfId="0" applyFont="1" applyFill="1" applyBorder="1" applyAlignment="1">
      <alignment horizontal="left" vertical="center" indent="1"/>
    </xf>
    <xf numFmtId="49" fontId="83" fillId="8" borderId="6" xfId="0"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Alignment="1">
      <alignment horizontal="left" vertical="center"/>
    </xf>
    <xf numFmtId="49" fontId="53" fillId="6" borderId="10" xfId="0" applyFont="1" applyFill="1" applyBorder="1" applyAlignment="1">
      <alignment horizontal="left" vertical="center" wrapText="1"/>
    </xf>
    <xf numFmtId="49" fontId="43" fillId="8" borderId="5" xfId="0" applyFont="1" applyFill="1" applyBorder="1" applyAlignment="1">
      <alignment horizontal="left" vertical="center"/>
    </xf>
    <xf numFmtId="49" fontId="75" fillId="8" borderId="5" xfId="0" applyFont="1" applyFill="1" applyBorder="1" applyAlignment="1">
      <alignment horizontal="left" vertical="center"/>
    </xf>
    <xf numFmtId="49" fontId="40" fillId="8" borderId="5" xfId="0" applyFont="1" applyFill="1" applyBorder="1" applyAlignment="1">
      <alignment horizontal="left" vertical="top"/>
    </xf>
    <xf numFmtId="0" fontId="27" fillId="19" borderId="0" xfId="0" applyNumberFormat="1" applyFont="1" applyFill="1" applyAlignment="1">
      <alignment horizontal="left" vertical="center"/>
    </xf>
    <xf numFmtId="49" fontId="2" fillId="0" borderId="11" xfId="0"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Border="1" applyAlignment="1">
      <alignment vertical="center"/>
    </xf>
    <xf numFmtId="0" fontId="12" fillId="0" borderId="21" xfId="0" applyNumberFormat="1" applyFont="1" applyBorder="1" applyAlignment="1">
      <alignment horizontal="left" vertical="center"/>
    </xf>
    <xf numFmtId="0" fontId="17" fillId="0" borderId="8" xfId="0" applyNumberFormat="1" applyFont="1" applyBorder="1" applyAlignment="1">
      <alignment vertical="top" wrapText="1"/>
    </xf>
    <xf numFmtId="0" fontId="2" fillId="0" borderId="0" xfId="0" applyNumberFormat="1" applyFont="1" applyAlignment="1">
      <alignment horizontal="center" vertical="center"/>
    </xf>
    <xf numFmtId="49" fontId="81" fillId="0" borderId="0" xfId="0" applyFont="1">
      <alignment vertical="top"/>
    </xf>
    <xf numFmtId="49" fontId="71" fillId="0" borderId="10" xfId="0" applyFont="1" applyBorder="1" applyAlignment="1">
      <alignment horizontal="left" vertical="center"/>
    </xf>
    <xf numFmtId="49" fontId="20" fillId="0" borderId="10" xfId="0" applyFont="1" applyBorder="1" applyAlignment="1">
      <alignment horizontal="left" vertical="center" indent="3"/>
    </xf>
    <xf numFmtId="49" fontId="20" fillId="0" borderId="10" xfId="0" applyFont="1" applyBorder="1" applyAlignment="1">
      <alignment horizontal="center" vertical="center" wrapText="1"/>
    </xf>
    <xf numFmtId="49" fontId="20" fillId="0" borderId="0" xfId="0" applyFont="1" applyAlignment="1">
      <alignment horizontal="left" vertical="center"/>
    </xf>
    <xf numFmtId="49" fontId="71" fillId="0" borderId="0" xfId="0" applyFont="1" applyAlignment="1">
      <alignment horizontal="left" vertical="center"/>
    </xf>
    <xf numFmtId="49" fontId="20" fillId="0" borderId="0" xfId="0" applyFont="1" applyAlignment="1">
      <alignment horizontal="left" vertical="center" indent="2"/>
    </xf>
    <xf numFmtId="49" fontId="20" fillId="0" borderId="0" xfId="0" applyFont="1" applyAlignment="1">
      <alignment horizontal="left" vertical="center" indent="1"/>
    </xf>
    <xf numFmtId="0" fontId="0" fillId="0" borderId="4" xfId="0" applyNumberFormat="1" applyBorder="1" applyAlignment="1">
      <alignment horizontal="center" vertical="center" wrapText="1"/>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3" xfId="0" applyFont="1" applyBorder="1" applyAlignment="1">
      <alignment vertical="center" wrapText="1"/>
    </xf>
    <xf numFmtId="0" fontId="42" fillId="0" borderId="0" xfId="0" applyNumberFormat="1" applyFont="1" applyAlignment="1">
      <alignment vertical="center" wrapText="1"/>
    </xf>
    <xf numFmtId="0" fontId="0" fillId="0" borderId="6" xfId="0" applyNumberFormat="1" applyBorder="1" applyAlignment="1">
      <alignment vertical="center"/>
    </xf>
    <xf numFmtId="0" fontId="46" fillId="0" borderId="0" xfId="0" applyNumberFormat="1" applyFont="1" applyAlignment="1">
      <alignment horizontal="left" vertical="center" inden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Font="1" applyAlignment="1">
      <alignment horizontal="left"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Font="1" applyBorder="1" applyAlignment="1">
      <alignment horizontal="left" vertical="center"/>
    </xf>
    <xf numFmtId="49" fontId="20" fillId="0" borderId="6" xfId="0" applyFont="1" applyBorder="1" applyAlignment="1">
      <alignment horizontal="left" vertical="center" indent="4"/>
    </xf>
    <xf numFmtId="49" fontId="20" fillId="0" borderId="6" xfId="0" applyFont="1" applyBorder="1" applyAlignment="1">
      <alignment horizontal="center" vertical="center" wrapText="1"/>
    </xf>
    <xf numFmtId="49" fontId="20" fillId="0" borderId="4" xfId="0"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0" fillId="0" borderId="3" xfId="0" applyNumberFormat="1" applyFont="1" applyBorder="1" applyAlignment="1">
      <alignment horizontal="left" vertical="center" wrapText="1" indent="5"/>
    </xf>
    <xf numFmtId="49" fontId="46" fillId="0" borderId="15" xfId="0" applyFont="1" applyBorder="1">
      <alignment vertical="top"/>
    </xf>
    <xf numFmtId="49" fontId="20" fillId="0" borderId="15" xfId="0" applyFont="1" applyBorder="1">
      <alignment vertical="top"/>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Font="1" applyFill="1" applyBorder="1" applyAlignment="1">
      <alignment horizontal="center" vertical="center" wrapText="1"/>
    </xf>
    <xf numFmtId="0" fontId="29" fillId="6" borderId="0" xfId="0" applyNumberFormat="1" applyFont="1" applyFill="1" applyAlignment="1">
      <alignment horizontal="center" vertical="center" wrapText="1"/>
    </xf>
    <xf numFmtId="49" fontId="0" fillId="0" borderId="10" xfId="0" applyBorder="1" applyAlignment="1">
      <alignment horizontal="left" vertical="center" wrapText="1"/>
    </xf>
    <xf numFmtId="49" fontId="2" fillId="0" borderId="10" xfId="0" applyFont="1" applyBorder="1" applyAlignment="1">
      <alignment horizontal="center" vertical="center" wrapText="1"/>
    </xf>
    <xf numFmtId="49" fontId="3" fillId="0" borderId="0" xfId="0" applyFont="1" applyAlignment="1">
      <alignment horizontal="center" vertical="center"/>
    </xf>
    <xf numFmtId="0" fontId="27" fillId="0" borderId="0" xfId="0" applyNumberFormat="1" applyFont="1" applyAlignment="1">
      <alignment horizontal="left" vertical="center"/>
    </xf>
    <xf numFmtId="0" fontId="0" fillId="0" borderId="0" xfId="0" applyNumberFormat="1" applyAlignment="1">
      <alignment horizontal="right" vertical="top"/>
    </xf>
    <xf numFmtId="0" fontId="12" fillId="8" borderId="21" xfId="0" applyNumberFormat="1" applyFont="1" applyFill="1" applyBorder="1" applyAlignment="1">
      <alignment horizontal="left" vertical="center"/>
    </xf>
    <xf numFmtId="49" fontId="20" fillId="0" borderId="5" xfId="0"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8" borderId="21" xfId="0" applyFill="1" applyBorder="1" applyAlignment="1">
      <alignment horizontal="center" vertical="center" wrapText="1"/>
    </xf>
    <xf numFmtId="0" fontId="84" fillId="0" borderId="0" xfId="0" applyNumberFormat="1" applyFont="1" applyAlignment="1">
      <alignment vertical="center" wrapText="1"/>
    </xf>
    <xf numFmtId="49" fontId="20" fillId="0" borderId="3" xfId="0" applyFont="1" applyBorder="1" applyAlignment="1">
      <alignment horizontal="center" vertical="center" wrapText="1"/>
    </xf>
    <xf numFmtId="0" fontId="20" fillId="6" borderId="0" xfId="0" applyNumberFormat="1" applyFont="1" applyFill="1" applyAlignment="1">
      <alignment horizontal="center" vertical="center" wrapText="1"/>
    </xf>
    <xf numFmtId="0" fontId="2" fillId="6" borderId="15" xfId="0" applyNumberFormat="1" applyFont="1" applyFill="1" applyBorder="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Font="1" applyAlignment="1">
      <alignment horizontal="left" vertical="center" wrapText="1" indent="1"/>
    </xf>
    <xf numFmtId="0" fontId="20" fillId="0" borderId="0" xfId="0" applyNumberFormat="1" applyFont="1" applyAlignment="1">
      <alignment horizontal="left" vertical="center" wrapText="1" indent="4"/>
    </xf>
    <xf numFmtId="49" fontId="2" fillId="8" borderId="5" xfId="0"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10" xfId="0" applyFont="1" applyBorder="1" applyAlignment="1">
      <alignment horizontal="left" vertical="center" wrapText="1"/>
    </xf>
    <xf numFmtId="49" fontId="19" fillId="0" borderId="0" xfId="0" applyFont="1" applyAlignment="1">
      <alignment horizontal="left" vertical="top"/>
    </xf>
    <xf numFmtId="49" fontId="2" fillId="6" borderId="3" xfId="0" applyFont="1" applyFill="1" applyBorder="1" applyAlignment="1">
      <alignment horizontal="center" vertical="center"/>
    </xf>
    <xf numFmtId="49" fontId="2" fillId="0" borderId="3" xfId="0" applyFont="1" applyBorder="1" applyAlignment="1">
      <alignment horizontal="center" vertical="center"/>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Font="1" applyFill="1" applyBorder="1" applyAlignment="1">
      <alignment horizontal="right" vertical="center" wrapText="1"/>
    </xf>
    <xf numFmtId="49" fontId="0" fillId="8" borderId="19" xfId="0" applyFill="1" applyBorder="1" applyAlignment="1">
      <alignment horizontal="right" vertical="center" wrapText="1"/>
    </xf>
    <xf numFmtId="49" fontId="0" fillId="8" borderId="3" xfId="0" applyFill="1" applyBorder="1" applyAlignment="1">
      <alignment horizontal="right" vertical="center" wrapText="1"/>
    </xf>
    <xf numFmtId="49" fontId="22" fillId="8" borderId="19" xfId="0" applyFont="1" applyFill="1" applyBorder="1" applyAlignment="1">
      <alignment horizontal="right" vertical="center" wrapText="1"/>
    </xf>
    <xf numFmtId="49" fontId="26" fillId="10" borderId="14" xfId="0" applyFont="1" applyFill="1" applyBorder="1" applyAlignment="1" applyProtection="1">
      <alignment horizontal="left" vertical="center" wrapText="1"/>
      <protection locked="0"/>
    </xf>
    <xf numFmtId="49" fontId="26" fillId="10" borderId="18" xfId="0" applyFont="1" applyFill="1" applyBorder="1" applyAlignment="1" applyProtection="1">
      <alignment horizontal="left" vertical="center" wrapText="1"/>
      <protection locked="0"/>
    </xf>
    <xf numFmtId="49" fontId="26" fillId="8" borderId="19" xfId="0" applyFont="1" applyFill="1" applyBorder="1" applyAlignment="1">
      <alignment horizontal="left" vertical="center" wrapText="1"/>
    </xf>
    <xf numFmtId="49" fontId="26" fillId="8" borderId="14" xfId="0"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49" fontId="26" fillId="10" borderId="19" xfId="0" applyFont="1" applyFill="1" applyBorder="1" applyAlignment="1" applyProtection="1">
      <alignment horizontal="left" vertical="center" wrapText="1"/>
      <protection locked="0"/>
    </xf>
    <xf numFmtId="0" fontId="2" fillId="5" borderId="5" xfId="0" applyNumberFormat="1" applyFont="1" applyFill="1" applyBorder="1" applyAlignment="1">
      <alignment horizontal="left" vertical="top" wrapText="1"/>
    </xf>
    <xf numFmtId="49" fontId="20" fillId="0" borderId="0" xfId="0" applyFont="1" applyAlignment="1">
      <alignment horizontal="center" vertical="center"/>
    </xf>
    <xf numFmtId="49" fontId="40" fillId="0" borderId="0" xfId="0"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Font="1" applyBorder="1" applyAlignment="1">
      <alignment horizontal="left" vertical="center" wrapText="1"/>
    </xf>
    <xf numFmtId="49" fontId="2" fillId="0" borderId="27" xfId="0"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Font="1" applyBorder="1" applyAlignment="1">
      <alignment vertical="center" wrapText="1"/>
    </xf>
    <xf numFmtId="0" fontId="12" fillId="0" borderId="14" xfId="0" applyNumberFormat="1" applyFont="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Font="1" applyFill="1" applyBorder="1">
      <alignment vertical="top"/>
    </xf>
    <xf numFmtId="49" fontId="40" fillId="8" borderId="6" xfId="0" applyFont="1" applyFill="1" applyBorder="1">
      <alignment vertical="top"/>
    </xf>
    <xf numFmtId="49" fontId="2" fillId="11" borderId="8" xfId="0" applyFont="1" applyFill="1" applyBorder="1" applyAlignment="1">
      <alignment vertical="center" wrapText="1"/>
    </xf>
    <xf numFmtId="49" fontId="19" fillId="0" borderId="0" xfId="0"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left" vertical="center" wrapText="1"/>
    </xf>
    <xf numFmtId="49" fontId="2" fillId="0" borderId="10" xfId="0" applyFont="1" applyBorder="1" applyAlignment="1">
      <alignment vertical="center" wrapText="1"/>
    </xf>
    <xf numFmtId="49" fontId="8" fillId="0" borderId="10" xfId="0" applyFont="1" applyBorder="1" applyAlignment="1">
      <alignment vertical="center" wrapText="1"/>
    </xf>
    <xf numFmtId="0" fontId="2" fillId="0" borderId="10" xfId="0" applyNumberFormat="1" applyFont="1" applyBorder="1" applyAlignment="1">
      <alignment horizontal="left" vertical="center" wrapText="1"/>
    </xf>
    <xf numFmtId="49" fontId="8" fillId="0" borderId="0" xfId="0" applyFont="1" applyAlignment="1">
      <alignment vertical="center" wrapText="1"/>
    </xf>
    <xf numFmtId="0" fontId="12" fillId="0" borderId="0" xfId="0" applyNumberFormat="1" applyFont="1" applyAlignment="1">
      <alignment vertical="center"/>
    </xf>
    <xf numFmtId="49" fontId="40" fillId="0" borderId="18" xfId="0" applyFont="1" applyBorder="1">
      <alignment vertical="top"/>
    </xf>
    <xf numFmtId="49" fontId="2" fillId="0" borderId="28" xfId="0" applyFont="1" applyBorder="1" applyAlignment="1">
      <alignment vertical="center" wrapText="1"/>
    </xf>
    <xf numFmtId="49" fontId="2" fillId="0" borderId="13" xfId="0"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Font="1" applyBorder="1">
      <alignment vertical="top"/>
    </xf>
    <xf numFmtId="0" fontId="12" fillId="8" borderId="28" xfId="0" applyNumberFormat="1" applyFont="1" applyFill="1" applyBorder="1" applyAlignment="1">
      <alignment vertical="center"/>
    </xf>
    <xf numFmtId="0" fontId="8" fillId="6" borderId="3"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left" vertical="center" wrapText="1" indent="1"/>
    </xf>
    <xf numFmtId="49" fontId="2" fillId="0" borderId="50" xfId="0" applyFont="1" applyBorder="1" applyAlignment="1">
      <alignment horizontal="center" vertical="center" wrapText="1"/>
    </xf>
    <xf numFmtId="49" fontId="2" fillId="0" borderId="20" xfId="0" applyFont="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Font="1" applyBorder="1" applyAlignment="1">
      <alignment horizontal="center" vertical="center" wrapText="1"/>
    </xf>
    <xf numFmtId="49" fontId="12" fillId="8" borderId="10" xfId="0" applyFont="1" applyFill="1" applyBorder="1" applyAlignment="1">
      <alignment horizontal="left" vertical="center" indent="2"/>
    </xf>
    <xf numFmtId="49" fontId="2" fillId="0" borderId="52" xfId="0"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Font="1" applyBorder="1" applyAlignment="1">
      <alignment horizontal="left" vertical="center"/>
    </xf>
    <xf numFmtId="49" fontId="12" fillId="0" borderId="10" xfId="0" applyFont="1" applyBorder="1" applyAlignment="1">
      <alignment horizontal="left" vertical="center" indent="2"/>
    </xf>
    <xf numFmtId="49" fontId="16" fillId="0" borderId="10" xfId="0" applyFont="1" applyBorder="1" applyAlignment="1">
      <alignment horizontal="center" vertical="top"/>
    </xf>
    <xf numFmtId="0" fontId="2" fillId="0" borderId="10" xfId="0" applyNumberFormat="1" applyFont="1" applyBorder="1" applyAlignment="1">
      <alignment horizontal="left" vertical="top" wrapText="1"/>
    </xf>
    <xf numFmtId="49" fontId="2" fillId="11" borderId="5" xfId="0" applyFont="1" applyFill="1" applyBorder="1" applyAlignment="1">
      <alignment horizontal="left" vertical="center" wrapText="1"/>
    </xf>
    <xf numFmtId="0" fontId="0" fillId="6" borderId="14" xfId="0" applyNumberFormat="1" applyFill="1" applyBorder="1" applyAlignment="1">
      <alignment vertical="center" wrapText="1"/>
    </xf>
    <xf numFmtId="0" fontId="0" fillId="19" borderId="1" xfId="0" applyNumberFormat="1" applyFill="1" applyBorder="1" applyAlignment="1">
      <alignment horizontal="center"/>
    </xf>
    <xf numFmtId="0" fontId="0" fillId="0" borderId="1" xfId="0" applyNumberFormat="1" applyBorder="1" applyAlignment="1">
      <alignment horizontal="center"/>
    </xf>
    <xf numFmtId="0" fontId="89" fillId="0" borderId="0" xfId="0" applyNumberFormat="1" applyFont="1" applyAlignment="1">
      <alignment wrapText="1"/>
    </xf>
    <xf numFmtId="49" fontId="39" fillId="0" borderId="0" xfId="0" applyFont="1" applyAlignment="1">
      <alignment wrapText="1"/>
    </xf>
    <xf numFmtId="49" fontId="39" fillId="0" borderId="0" xfId="0" applyFont="1" applyAlignment="1">
      <alignment vertical="center" wrapText="1"/>
    </xf>
    <xf numFmtId="49" fontId="90" fillId="0" borderId="0" xfId="0" applyFont="1" applyAlignment="1">
      <alignment wrapText="1"/>
    </xf>
    <xf numFmtId="0" fontId="76" fillId="0" borderId="0" xfId="0" applyNumberFormat="1" applyFont="1" applyAlignment="1">
      <alignment horizontal="left" vertical="center" wrapText="1"/>
    </xf>
    <xf numFmtId="49" fontId="91" fillId="0" borderId="0" xfId="0" applyFont="1" applyAlignment="1">
      <alignment wrapText="1"/>
    </xf>
    <xf numFmtId="0" fontId="18" fillId="0" borderId="0" xfId="0" applyNumberFormat="1" applyFont="1" applyAlignment="1">
      <alignment horizontal="left" vertical="top" wrapText="1"/>
    </xf>
    <xf numFmtId="49" fontId="2" fillId="0" borderId="0" xfId="0"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ill="1" applyBorder="1" applyAlignment="1">
      <alignment horizontal="center" vertical="center" wrapText="1"/>
    </xf>
    <xf numFmtId="0" fontId="0" fillId="24" borderId="53" xfId="0" applyNumberFormat="1" applyFill="1" applyBorder="1" applyAlignment="1">
      <alignment horizontal="center" vertical="center" wrapText="1"/>
    </xf>
    <xf numFmtId="0" fontId="0" fillId="5" borderId="53" xfId="0" applyNumberFormat="1" applyFill="1" applyBorder="1" applyAlignment="1">
      <alignment horizontal="center" vertical="center" wrapText="1"/>
    </xf>
    <xf numFmtId="0" fontId="0" fillId="10" borderId="53" xfId="0" applyNumberForma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Font="1" applyBorder="1" applyAlignment="1">
      <alignment horizontal="center" vertical="center" wrapText="1"/>
    </xf>
    <xf numFmtId="49" fontId="95" fillId="0" borderId="0" xfId="0" applyFont="1" applyAlignment="1">
      <alignment horizontal="center" vertical="center" wrapText="1"/>
    </xf>
    <xf numFmtId="49" fontId="2" fillId="19" borderId="0" xfId="0" applyFont="1" applyFill="1" applyAlignment="1">
      <alignment horizontal="center" vertical="center"/>
    </xf>
    <xf numFmtId="171" fontId="0" fillId="10" borderId="3" xfId="0" applyNumberFormat="1" applyFill="1" applyBorder="1" applyAlignment="1" applyProtection="1">
      <alignment horizontal="left" vertical="center" wrapText="1" indent="1"/>
      <protection locked="0"/>
    </xf>
    <xf numFmtId="171" fontId="0" fillId="0" borderId="3" xfId="0" applyNumberFormat="1" applyBorder="1" applyAlignment="1">
      <alignment horizontal="left" vertical="center" wrapText="1" indent="1"/>
    </xf>
    <xf numFmtId="171" fontId="0" fillId="10" borderId="3" xfId="0" applyNumberForma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ill="1" applyBorder="1" applyAlignment="1" applyProtection="1">
      <alignment horizontal="left" vertical="center" wrapText="1"/>
      <protection locked="0"/>
    </xf>
    <xf numFmtId="171" fontId="0" fillId="7" borderId="3" xfId="0" applyNumberFormat="1" applyFill="1" applyBorder="1" applyAlignment="1" applyProtection="1">
      <alignment horizontal="left" vertical="center" wrapText="1" indent="1"/>
      <protection locked="0"/>
    </xf>
    <xf numFmtId="171" fontId="0" fillId="10" borderId="4" xfId="0" applyNumberForma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0" fontId="0" fillId="5" borderId="27" xfId="0" applyNumberFormat="1" applyFill="1" applyBorder="1" applyAlignment="1">
      <alignment horizontal="left" vertical="top" wrapText="1" indent="1"/>
    </xf>
    <xf numFmtId="49" fontId="2" fillId="11" borderId="27" xfId="0" applyFont="1" applyFill="1" applyBorder="1" applyAlignment="1">
      <alignment horizontal="center" vertical="top" wrapText="1"/>
    </xf>
    <xf numFmtId="49" fontId="0" fillId="10" borderId="27" xfId="0" applyFill="1" applyBorder="1" applyAlignment="1" applyProtection="1">
      <alignment horizontal="center" vertical="top" wrapText="1"/>
      <protection locked="0"/>
    </xf>
    <xf numFmtId="49" fontId="0" fillId="7" borderId="27" xfId="0" applyFill="1" applyBorder="1" applyAlignment="1" applyProtection="1">
      <alignment horizontal="center" vertical="top" wrapText="1"/>
      <protection locked="0"/>
    </xf>
    <xf numFmtId="49" fontId="2" fillId="11" borderId="27" xfId="0" applyFont="1" applyFill="1" applyBorder="1" applyAlignment="1">
      <alignment horizontal="left" vertical="top" wrapText="1"/>
    </xf>
    <xf numFmtId="49" fontId="2" fillId="10" borderId="27" xfId="0" applyFont="1" applyFill="1" applyBorder="1" applyAlignment="1" applyProtection="1">
      <alignment horizontal="left" vertical="top" wrapText="1"/>
      <protection locked="0"/>
    </xf>
    <xf numFmtId="49" fontId="0" fillId="5" borderId="27" xfId="0"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Font="1" applyFill="1" applyAlignment="1">
      <alignment horizontal="center" vertical="center" wrapText="1"/>
    </xf>
    <xf numFmtId="0" fontId="0" fillId="6" borderId="3" xfId="0" applyNumberFormat="1" applyFill="1" applyBorder="1" applyAlignment="1">
      <alignment vertical="top" wrapText="1"/>
    </xf>
    <xf numFmtId="0" fontId="19" fillId="0" borderId="3" xfId="0" applyNumberFormat="1" applyFont="1" applyBorder="1" applyAlignment="1">
      <alignment vertical="top" wrapText="1"/>
    </xf>
    <xf numFmtId="49" fontId="2" fillId="11" borderId="27" xfId="0" applyFont="1" applyFill="1" applyBorder="1" applyAlignment="1">
      <alignment vertical="center" wrapText="1"/>
    </xf>
    <xf numFmtId="49" fontId="2" fillId="11" borderId="14" xfId="0" applyFont="1" applyFill="1" applyBorder="1" applyAlignment="1">
      <alignment vertical="center" wrapText="1"/>
    </xf>
    <xf numFmtId="49" fontId="2" fillId="7" borderId="3" xfId="0" applyFont="1" applyFill="1" applyBorder="1" applyAlignment="1" applyProtection="1">
      <alignment horizontal="left" vertical="center" wrapText="1" indent="1"/>
      <protection locked="0"/>
    </xf>
    <xf numFmtId="49" fontId="2" fillId="0" borderId="0" xfId="0"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ill="1" applyBorder="1" applyAlignment="1" applyProtection="1">
      <alignment horizontal="left" vertical="center" wrapText="1"/>
      <protection locked="0"/>
    </xf>
    <xf numFmtId="171" fontId="0" fillId="0" borderId="2" xfId="0" applyNumberFormat="1" applyBorder="1" applyAlignment="1">
      <alignment horizontal="left" vertical="center" wrapText="1" indent="1"/>
    </xf>
    <xf numFmtId="49" fontId="2" fillId="6" borderId="17" xfId="0" applyFont="1" applyFill="1" applyBorder="1" applyAlignment="1">
      <alignment horizontal="right" vertical="center" wrapText="1" indent="1"/>
    </xf>
    <xf numFmtId="0" fontId="2" fillId="11" borderId="27" xfId="0" applyNumberFormat="1" applyFont="1" applyFill="1" applyBorder="1" applyAlignment="1">
      <alignment horizontal="center" vertical="top" wrapText="1"/>
    </xf>
    <xf numFmtId="49" fontId="2" fillId="11" borderId="27" xfId="0" applyFont="1" applyFill="1" applyBorder="1" applyAlignment="1">
      <alignment horizontal="center" vertical="center" wrapText="1"/>
    </xf>
    <xf numFmtId="0" fontId="17" fillId="0" borderId="3" xfId="0" applyNumberFormat="1" applyFont="1" applyBorder="1" applyAlignment="1">
      <alignment horizontal="center" vertical="center"/>
    </xf>
    <xf numFmtId="49" fontId="2" fillId="0" borderId="27" xfId="0" applyFont="1" applyBorder="1" applyAlignment="1">
      <alignment horizontal="center" vertical="top" wrapText="1"/>
    </xf>
    <xf numFmtId="0" fontId="7" fillId="0" borderId="3"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Fill="1">
      <alignment vertical="top"/>
    </xf>
    <xf numFmtId="0" fontId="8" fillId="6" borderId="0" xfId="0" applyNumberFormat="1" applyFont="1" applyFill="1" applyAlignment="1">
      <alignment horizontal="center"/>
    </xf>
    <xf numFmtId="49" fontId="96" fillId="10" borderId="3" xfId="0" applyFont="1" applyFill="1" applyBorder="1" applyAlignment="1" applyProtection="1">
      <alignment horizontal="left" vertical="center" wrapText="1"/>
      <protection locked="0"/>
    </xf>
    <xf numFmtId="0" fontId="8" fillId="0" borderId="15" xfId="0" applyNumberFormat="1" applyFont="1" applyBorder="1" applyAlignment="1">
      <alignment horizontal="center" vertical="center" wrapText="1"/>
    </xf>
    <xf numFmtId="49" fontId="97" fillId="0" borderId="0" xfId="0" applyFont="1" applyAlignment="1">
      <alignment horizontal="center" vertical="top" wrapText="1"/>
    </xf>
    <xf numFmtId="49" fontId="0" fillId="5" borderId="27" xfId="0" applyFill="1" applyBorder="1">
      <alignment vertical="top"/>
    </xf>
    <xf numFmtId="49" fontId="0" fillId="0" borderId="27" xfId="0" applyBorder="1">
      <alignment vertical="top"/>
    </xf>
    <xf numFmtId="49" fontId="0" fillId="10" borderId="27" xfId="0" applyFill="1" applyBorder="1" applyProtection="1">
      <alignment vertical="top"/>
      <protection locked="0"/>
    </xf>
    <xf numFmtId="49" fontId="0" fillId="10" borderId="8" xfId="0" applyFill="1" applyBorder="1" applyProtection="1">
      <alignment vertical="top"/>
      <protection locked="0"/>
    </xf>
    <xf numFmtId="49" fontId="0" fillId="10" borderId="14" xfId="0" applyFill="1" applyBorder="1" applyProtection="1">
      <alignment vertical="top"/>
      <protection locked="0"/>
    </xf>
    <xf numFmtId="49" fontId="97"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8" borderId="6" xfId="0" applyNumberFormat="1" applyFill="1" applyBorder="1" applyAlignment="1">
      <alignment vertical="center"/>
    </xf>
    <xf numFmtId="49" fontId="0" fillId="0" borderId="27" xfId="0" applyBorder="1" applyAlignment="1">
      <alignment horizontal="left" vertical="top"/>
    </xf>
    <xf numFmtId="49" fontId="0" fillId="11" borderId="27" xfId="0" applyFill="1" applyBorder="1" applyAlignment="1">
      <alignment horizontal="left" vertical="top"/>
    </xf>
    <xf numFmtId="49" fontId="0" fillId="7" borderId="27" xfId="0" applyFill="1" applyBorder="1" applyAlignment="1" applyProtection="1">
      <alignment horizontal="left" vertical="top"/>
      <protection locked="0"/>
    </xf>
    <xf numFmtId="49" fontId="0" fillId="11" borderId="27" xfId="0" applyFill="1" applyBorder="1" applyAlignment="1" applyProtection="1">
      <alignment horizontal="left" vertical="center" wrapText="1"/>
      <protection locked="0"/>
    </xf>
    <xf numFmtId="49" fontId="0" fillId="7" borderId="27" xfId="0" applyFill="1" applyBorder="1" applyProtection="1">
      <alignment vertical="top"/>
      <protection locked="0"/>
    </xf>
    <xf numFmtId="49" fontId="8" fillId="0" borderId="27" xfId="0" applyFont="1" applyBorder="1" applyAlignment="1">
      <alignment vertical="center" wrapText="1"/>
    </xf>
    <xf numFmtId="49" fontId="8" fillId="0" borderId="27" xfId="0" applyFont="1" applyBorder="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0" xfId="0" applyNumberFormat="1" applyFont="1" applyBorder="1" applyAlignment="1">
      <alignment horizontal="left" vertical="center" wrapText="1" indent="1"/>
    </xf>
    <xf numFmtId="49" fontId="98" fillId="10" borderId="3" xfId="0" applyFont="1" applyFill="1" applyBorder="1" applyAlignment="1" applyProtection="1">
      <alignment horizontal="left" vertical="center" wrapText="1" indent="1"/>
      <protection locked="0"/>
    </xf>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49" fontId="7" fillId="0" borderId="62" xfId="0" applyFont="1" applyBorder="1" applyAlignment="1">
      <alignment horizontal="center" vertical="center" wrapText="1"/>
    </xf>
    <xf numFmtId="49" fontId="7" fillId="0" borderId="63" xfId="0" applyFont="1" applyBorder="1" applyAlignment="1">
      <alignment horizontal="center" vertical="center" wrapText="1"/>
    </xf>
    <xf numFmtId="49" fontId="7" fillId="0" borderId="5" xfId="0" applyFont="1" applyBorder="1" applyAlignment="1">
      <alignment horizontal="center" vertical="center" wrapText="1"/>
    </xf>
    <xf numFmtId="49" fontId="7" fillId="0" borderId="4" xfId="0"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Font="1" applyFill="1" applyBorder="1" applyAlignment="1">
      <alignment horizontal="center" vertical="center" wrapText="1"/>
    </xf>
    <xf numFmtId="49" fontId="2" fillId="0" borderId="3" xfId="0" applyFont="1" applyBorder="1" applyAlignment="1">
      <alignment horizontal="center" vertical="center" wrapText="1"/>
    </xf>
    <xf numFmtId="49" fontId="0" fillId="0" borderId="3" xfId="0" applyBorder="1">
      <alignment vertical="top"/>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11" borderId="3" xfId="0" applyNumberFormat="1" applyFont="1" applyFill="1" applyBorder="1" applyAlignment="1" applyProtection="1">
      <alignment horizontal="left" vertical="center" wrapText="1" indent="1"/>
      <protection locked="0"/>
    </xf>
    <xf numFmtId="0" fontId="48" fillId="11" borderId="3" xfId="0" applyNumberFormat="1" applyFont="1" applyFill="1" applyBorder="1" applyAlignment="1" applyProtection="1">
      <alignment horizontal="left" vertical="top" indent="1"/>
      <protection locked="0"/>
    </xf>
    <xf numFmtId="0" fontId="7" fillId="0" borderId="15"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0" borderId="10" xfId="0" applyFont="1" applyBorder="1" applyAlignment="1">
      <alignment horizontal="center" vertical="center" wrapText="1"/>
    </xf>
    <xf numFmtId="49" fontId="2" fillId="0" borderId="0" xfId="0" applyFont="1" applyAlignment="1">
      <alignment horizontal="center" vertical="center" wrapText="1"/>
    </xf>
    <xf numFmtId="0" fontId="0" fillId="0" borderId="3" xfId="0" applyNumberFormat="1" applyBorder="1" applyAlignment="1">
      <alignment horizontal="center" vertical="top"/>
    </xf>
    <xf numFmtId="0" fontId="2" fillId="0" borderId="3" xfId="0" applyNumberFormat="1" applyFont="1" applyBorder="1" applyAlignment="1">
      <alignment horizontal="left" vertical="top" wrapText="1"/>
    </xf>
    <xf numFmtId="49" fontId="0" fillId="0" borderId="3" xfId="0"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2" fillId="0" borderId="10" xfId="0" applyFont="1" applyBorder="1" applyAlignment="1">
      <alignment horizontal="left" vertical="center" wrapText="1"/>
    </xf>
    <xf numFmtId="49" fontId="2"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9" xfId="0"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Font="1" applyBorder="1" applyAlignment="1">
      <alignment horizontal="center" vertical="center"/>
    </xf>
    <xf numFmtId="49" fontId="2" fillId="0" borderId="8" xfId="0"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Font="1" applyFill="1" applyBorder="1" applyAlignment="1">
      <alignment horizontal="center" vertical="center" wrapText="1"/>
    </xf>
    <xf numFmtId="49" fontId="2" fillId="11" borderId="27" xfId="0"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Fill="1" applyBorder="1" applyAlignment="1">
      <alignment horizontal="center" vertical="center" wrapText="1"/>
    </xf>
    <xf numFmtId="49" fontId="2" fillId="6" borderId="3" xfId="0"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18"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49" fontId="0" fillId="0" borderId="28" xfId="0" applyBorder="1" applyAlignment="1">
      <alignment horizontal="center" vertical="center" wrapText="1"/>
    </xf>
    <xf numFmtId="49" fontId="0" fillId="0" borderId="18" xfId="0"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49" fontId="2" fillId="0" borderId="3" xfId="0" applyFont="1" applyBorder="1" applyAlignment="1">
      <alignment horizontal="center" vertical="top" wrapText="1"/>
    </xf>
    <xf numFmtId="0" fontId="0" fillId="5" borderId="3" xfId="0" applyNumberFormat="1" applyFill="1" applyBorder="1" applyAlignment="1">
      <alignment horizontal="left" vertical="top" wrapText="1" indent="1"/>
    </xf>
    <xf numFmtId="49" fontId="2" fillId="11" borderId="8" xfId="0" applyFont="1" applyFill="1" applyBorder="1" applyAlignment="1">
      <alignment horizontal="center" vertical="top" wrapText="1"/>
    </xf>
    <xf numFmtId="49" fontId="2" fillId="11" borderId="14" xfId="0" applyFont="1" applyFill="1" applyBorder="1" applyAlignment="1">
      <alignment horizontal="center" vertical="top" wrapText="1"/>
    </xf>
    <xf numFmtId="171" fontId="0" fillId="10" borderId="3" xfId="0" applyNumberFormat="1" applyFill="1" applyBorder="1" applyAlignment="1" applyProtection="1">
      <alignment horizontal="center" vertical="top" wrapText="1"/>
      <protection locked="0"/>
    </xf>
    <xf numFmtId="49" fontId="0" fillId="10" borderId="3" xfId="0" applyFill="1" applyBorder="1" applyAlignment="1" applyProtection="1">
      <alignment horizontal="center" vertical="top" wrapText="1"/>
      <protection locked="0"/>
    </xf>
    <xf numFmtId="171" fontId="0" fillId="7" borderId="3" xfId="0" applyNumberFormat="1" applyFill="1" applyBorder="1" applyAlignment="1" applyProtection="1">
      <alignment horizontal="center" vertical="top" wrapText="1"/>
      <protection locked="0"/>
    </xf>
    <xf numFmtId="49" fontId="0" fillId="7" borderId="3" xfId="0" applyFill="1" applyBorder="1" applyAlignment="1" applyProtection="1">
      <alignment horizontal="center" vertical="top" wrapText="1"/>
      <protection locked="0"/>
    </xf>
    <xf numFmtId="49" fontId="2" fillId="11" borderId="3" xfId="0" applyFont="1" applyFill="1" applyBorder="1" applyAlignment="1">
      <alignment horizontal="left" vertical="top" wrapText="1"/>
    </xf>
    <xf numFmtId="0" fontId="20" fillId="0" borderId="0" xfId="0" applyNumberFormat="1" applyFont="1" applyAlignment="1">
      <alignment horizontal="center" vertical="center" wrapText="1"/>
    </xf>
    <xf numFmtId="0" fontId="0" fillId="0" borderId="3" xfId="0" applyNumberFormat="1" applyBorder="1" applyAlignment="1">
      <alignment horizontal="center" vertical="center"/>
    </xf>
    <xf numFmtId="49" fontId="2" fillId="10" borderId="3" xfId="0" applyFont="1" applyFill="1" applyBorder="1" applyAlignment="1" applyProtection="1">
      <alignment horizontal="left" vertical="top" wrapText="1"/>
      <protection locked="0"/>
    </xf>
    <xf numFmtId="49" fontId="2" fillId="0" borderId="4" xfId="0"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Fill="1" applyBorder="1" applyAlignment="1">
      <alignment horizontal="left" vertical="top"/>
    </xf>
    <xf numFmtId="49" fontId="2" fillId="0" borderId="8" xfId="0" applyFont="1" applyBorder="1" applyAlignment="1">
      <alignment horizontal="center" vertical="center" wrapText="1"/>
    </xf>
    <xf numFmtId="49" fontId="2" fillId="0" borderId="27" xfId="0" applyFont="1" applyBorder="1" applyAlignment="1">
      <alignment horizontal="center" vertical="center" wrapText="1"/>
    </xf>
    <xf numFmtId="49" fontId="2" fillId="0" borderId="14" xfId="0" applyFont="1" applyBorder="1" applyAlignment="1">
      <alignment horizontal="center" vertical="center" wrapText="1"/>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0" fillId="5" borderId="3" xfId="0" applyNumberFormat="1" applyFill="1" applyBorder="1" applyAlignment="1">
      <alignment horizontal="left" vertical="center" wrapText="1" indent="1"/>
    </xf>
    <xf numFmtId="49" fontId="2" fillId="11" borderId="8" xfId="0" applyFont="1" applyFill="1" applyBorder="1" applyAlignment="1">
      <alignment horizontal="left" vertical="center" wrapText="1" indent="1"/>
    </xf>
    <xf numFmtId="49" fontId="2" fillId="11" borderId="27" xfId="0" applyFont="1" applyFill="1" applyBorder="1" applyAlignment="1">
      <alignment horizontal="left" vertical="center" wrapText="1" indent="1"/>
    </xf>
    <xf numFmtId="49" fontId="2" fillId="11" borderId="14" xfId="0" applyFont="1" applyFill="1" applyBorder="1" applyAlignment="1">
      <alignment horizontal="left" vertical="center" wrapText="1" indent="1"/>
    </xf>
    <xf numFmtId="49" fontId="2" fillId="0" borderId="3" xfId="0" applyFont="1" applyBorder="1" applyAlignment="1">
      <alignment horizontal="left" vertical="center" wrapText="1"/>
    </xf>
    <xf numFmtId="49" fontId="97" fillId="0" borderId="3" xfId="0"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ill="1" applyBorder="1" applyAlignment="1" applyProtection="1">
      <alignment horizontal="left" vertical="center" wrapText="1"/>
      <protection locked="0"/>
    </xf>
    <xf numFmtId="49" fontId="0" fillId="10" borderId="5" xfId="0"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Font="1" applyBorder="1" applyAlignment="1">
      <alignment horizontal="center" vertical="top" wrapText="1"/>
    </xf>
    <xf numFmtId="49" fontId="2" fillId="0" borderId="27" xfId="0" applyFont="1" applyBorder="1" applyAlignment="1">
      <alignment horizontal="center" vertical="top" wrapText="1"/>
    </xf>
    <xf numFmtId="49" fontId="2" fillId="0" borderId="14" xfId="0" applyFont="1" applyBorder="1" applyAlignment="1">
      <alignment horizontal="center" vertical="top" wrapText="1"/>
    </xf>
    <xf numFmtId="49" fontId="2" fillId="10" borderId="5" xfId="0" applyFont="1" applyFill="1" applyBorder="1" applyAlignment="1" applyProtection="1">
      <alignment horizontal="left" vertical="center" wrapText="1" indent="1"/>
      <protection locked="0"/>
    </xf>
    <xf numFmtId="49" fontId="2" fillId="10" borderId="3" xfId="0"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0" fillId="11" borderId="3" xfId="0" applyNumberFormat="1" applyFill="1" applyBorder="1" applyAlignment="1" applyProtection="1">
      <alignment horizontal="left" vertical="center" wrapText="1"/>
      <protection locked="0"/>
    </xf>
    <xf numFmtId="49" fontId="0" fillId="11" borderId="3" xfId="0" applyFill="1" applyBorder="1" applyAlignment="1" applyProtection="1">
      <alignment horizontal="left" vertical="center" wrapText="1"/>
      <protection locked="0"/>
    </xf>
    <xf numFmtId="49" fontId="2" fillId="7" borderId="3"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top"/>
      <protection locked="0"/>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2" fillId="11" borderId="3" xfId="0" applyFont="1" applyFill="1" applyBorder="1" applyAlignment="1">
      <alignment horizontal="center" vertical="top" wrapText="1"/>
    </xf>
    <xf numFmtId="49" fontId="2" fillId="11" borderId="5" xfId="0" applyFont="1" applyFill="1" applyBorder="1" applyAlignment="1">
      <alignment horizontal="center" vertical="top" wrapText="1"/>
    </xf>
    <xf numFmtId="49" fontId="0" fillId="5" borderId="3" xfId="0"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Font="1" applyFill="1" applyBorder="1" applyAlignment="1">
      <alignment horizontal="center" vertical="center" wrapText="1"/>
    </xf>
    <xf numFmtId="49" fontId="12" fillId="8" borderId="42" xfId="0" applyFont="1" applyFill="1" applyBorder="1" applyAlignment="1">
      <alignment horizontal="left" vertical="center" indent="1"/>
    </xf>
    <xf numFmtId="49" fontId="2" fillId="5" borderId="3" xfId="0" applyFont="1" applyFill="1" applyBorder="1" applyAlignment="1">
      <alignment horizontal="center" vertical="center" wrapText="1"/>
    </xf>
    <xf numFmtId="49" fontId="2" fillId="5" borderId="49" xfId="0"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Font="1" applyFill="1" applyBorder="1" applyAlignment="1">
      <alignment horizontal="left" vertical="center" wrapText="1"/>
    </xf>
    <xf numFmtId="49" fontId="2" fillId="11" borderId="4" xfId="0" applyFont="1" applyFill="1" applyBorder="1" applyAlignment="1">
      <alignment horizontal="left" vertical="center" wrapText="1"/>
    </xf>
    <xf numFmtId="49" fontId="2" fillId="11" borderId="3" xfId="0" applyFont="1" applyFill="1" applyBorder="1" applyAlignment="1">
      <alignment horizontal="left" vertical="center" wrapText="1"/>
    </xf>
    <xf numFmtId="49" fontId="2" fillId="10" borderId="3" xfId="0" applyFont="1" applyFill="1" applyBorder="1" applyAlignment="1" applyProtection="1">
      <alignment horizontal="left" vertical="center" wrapText="1"/>
      <protection locked="0"/>
    </xf>
    <xf numFmtId="49" fontId="97" fillId="0" borderId="4" xfId="0"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Font="1" applyFill="1" applyBorder="1" applyAlignment="1">
      <alignment horizontal="left" vertical="center" wrapText="1"/>
    </xf>
    <xf numFmtId="49" fontId="2" fillId="11" borderId="14" xfId="0" applyFont="1" applyFill="1" applyBorder="1" applyAlignment="1">
      <alignment horizontal="left" vertical="center" wrapText="1"/>
    </xf>
    <xf numFmtId="49" fontId="2" fillId="0" borderId="27" xfId="0"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Font="1" applyFill="1" applyBorder="1" applyAlignment="1" applyProtection="1">
      <alignment horizontal="left" vertical="center" wrapText="1"/>
      <protection locked="0"/>
    </xf>
    <xf numFmtId="49" fontId="20" fillId="0" borderId="3" xfId="0"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ill="1" applyBorder="1" applyAlignment="1" applyProtection="1">
      <alignment horizontal="center" vertical="center" wrapText="1"/>
      <protection locked="0"/>
    </xf>
    <xf numFmtId="49" fontId="0" fillId="10" borderId="3" xfId="0" applyFill="1" applyBorder="1" applyAlignment="1" applyProtection="1">
      <alignment horizontal="center" vertical="center" wrapText="1"/>
      <protection locked="0"/>
    </xf>
    <xf numFmtId="171" fontId="0" fillId="10" borderId="8" xfId="0" applyNumberFormat="1" applyFill="1" applyBorder="1" applyAlignment="1" applyProtection="1">
      <alignment horizontal="center" vertical="center" wrapText="1"/>
      <protection locked="0"/>
    </xf>
    <xf numFmtId="49" fontId="0" fillId="10" borderId="14" xfId="0"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ill="1" applyBorder="1" applyAlignment="1">
      <alignment horizontal="center" vertical="center" wrapText="1"/>
    </xf>
    <xf numFmtId="0" fontId="0" fillId="6" borderId="6" xfId="0" applyNumberFormat="1" applyFill="1" applyBorder="1" applyAlignment="1">
      <alignment horizontal="center" vertical="center" wrapText="1"/>
    </xf>
    <xf numFmtId="0" fontId="0" fillId="6" borderId="4"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Font="1" applyFill="1" applyBorder="1" applyAlignment="1">
      <alignment horizontal="center" vertical="center" textRotation="90" wrapText="1"/>
    </xf>
    <xf numFmtId="49" fontId="12" fillId="8" borderId="27" xfId="0" applyFont="1" applyFill="1" applyBorder="1" applyAlignment="1">
      <alignment horizontal="center" vertical="center" textRotation="90" wrapText="1"/>
    </xf>
    <xf numFmtId="49" fontId="12" fillId="8" borderId="14" xfId="0"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Font="1" applyBorder="1" applyAlignment="1">
      <alignment horizontal="left" vertical="center" wrapText="1" indent="1"/>
    </xf>
    <xf numFmtId="0" fontId="0" fillId="6" borderId="28" xfId="0" applyNumberFormat="1" applyFill="1" applyBorder="1" applyAlignment="1">
      <alignment horizontal="center" vertical="center" wrapText="1"/>
    </xf>
    <xf numFmtId="0" fontId="0" fillId="6" borderId="11" xfId="0" applyNumberFormat="1" applyFill="1" applyBorder="1" applyAlignment="1">
      <alignment horizontal="center" vertical="center" wrapText="1"/>
    </xf>
    <xf numFmtId="0" fontId="0" fillId="6" borderId="13" xfId="0" applyNumberFormat="1" applyFill="1" applyBorder="1" applyAlignment="1">
      <alignment horizontal="center" vertical="center" wrapText="1"/>
    </xf>
    <xf numFmtId="0" fontId="0" fillId="6" borderId="0" xfId="0" applyNumberFormat="1" applyFill="1" applyAlignment="1">
      <alignment horizontal="center" vertical="center" wrapText="1"/>
    </xf>
    <xf numFmtId="0" fontId="0" fillId="6" borderId="18" xfId="0" applyNumberFormat="1" applyFill="1" applyBorder="1" applyAlignment="1">
      <alignment horizontal="center" vertical="center" wrapText="1"/>
    </xf>
    <xf numFmtId="0" fontId="0" fillId="6" borderId="19" xfId="0" applyNumberFormat="1" applyFill="1" applyBorder="1" applyAlignment="1">
      <alignment horizontal="center" vertical="center" wrapText="1"/>
    </xf>
    <xf numFmtId="0" fontId="0" fillId="6" borderId="21" xfId="0" applyNumberForma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Font="1" applyFill="1" applyBorder="1" applyAlignment="1" applyProtection="1">
      <alignment horizontal="left" vertical="center" wrapText="1" indent="6"/>
      <protection locked="0"/>
    </xf>
    <xf numFmtId="49" fontId="2" fillId="10" borderId="27" xfId="0" applyFont="1" applyFill="1" applyBorder="1" applyAlignment="1" applyProtection="1">
      <alignment horizontal="left" vertical="center" wrapText="1" indent="6"/>
      <protection locked="0"/>
    </xf>
    <xf numFmtId="49" fontId="2" fillId="10" borderId="14" xfId="0"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Font="1" applyFill="1" applyBorder="1" applyAlignment="1">
      <alignment horizontal="left" vertical="center" wrapText="1" indent="1"/>
    </xf>
    <xf numFmtId="49" fontId="69" fillId="0" borderId="3" xfId="0"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Font="1" applyBorder="1" applyAlignment="1">
      <alignment horizontal="center" vertical="top" wrapText="1"/>
    </xf>
    <xf numFmtId="49" fontId="69" fillId="0" borderId="18" xfId="0" applyFont="1" applyBorder="1" applyAlignment="1">
      <alignment horizontal="center" vertical="top" wrapText="1"/>
    </xf>
    <xf numFmtId="49" fontId="69" fillId="0" borderId="5" xfId="0" applyFont="1" applyBorder="1" applyAlignment="1">
      <alignment horizontal="center" vertical="top" wrapText="1"/>
    </xf>
    <xf numFmtId="49" fontId="69" fillId="0" borderId="6" xfId="0" applyFont="1" applyBorder="1" applyAlignment="1">
      <alignment horizontal="center" vertical="top" wrapText="1"/>
    </xf>
    <xf numFmtId="49" fontId="69" fillId="0" borderId="4" xfId="0" applyFont="1" applyBorder="1" applyAlignment="1">
      <alignment horizontal="center" vertical="top" wrapText="1"/>
    </xf>
    <xf numFmtId="49" fontId="69" fillId="0" borderId="8" xfId="0" applyFont="1" applyBorder="1" applyAlignment="1">
      <alignment horizontal="center" vertical="top" wrapText="1"/>
    </xf>
    <xf numFmtId="49" fontId="69" fillId="0" borderId="27" xfId="0" applyFont="1" applyBorder="1" applyAlignment="1">
      <alignment horizontal="center" vertical="top" wrapText="1"/>
    </xf>
    <xf numFmtId="49" fontId="69" fillId="0" borderId="14" xfId="0"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Border="1" applyAlignment="1">
      <alignment horizontal="left" vertical="center" wrapText="1"/>
    </xf>
    <xf numFmtId="0" fontId="0" fillId="0" borderId="3" xfId="0" applyNumberForma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Font="1" applyFill="1" applyBorder="1" applyAlignment="1" applyProtection="1">
      <alignment horizontal="left" vertical="center" wrapText="1"/>
      <protection locked="0"/>
    </xf>
    <xf numFmtId="49" fontId="2" fillId="7" borderId="6" xfId="0" applyFont="1" applyFill="1" applyBorder="1" applyAlignment="1" applyProtection="1">
      <alignment horizontal="left" vertical="center" wrapText="1"/>
      <protection locked="0"/>
    </xf>
    <xf numFmtId="49" fontId="2" fillId="7" borderId="4" xfId="0"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Font="1" applyFill="1" applyBorder="1" applyAlignment="1" applyProtection="1">
      <alignment horizontal="left" vertical="center" wrapText="1" indent="6"/>
      <protection locked="0"/>
    </xf>
    <xf numFmtId="49" fontId="2" fillId="7" borderId="27" xfId="0" applyFont="1" applyFill="1" applyBorder="1" applyAlignment="1" applyProtection="1">
      <alignment horizontal="left" vertical="center" wrapText="1" indent="6"/>
      <protection locked="0"/>
    </xf>
    <xf numFmtId="49" fontId="2" fillId="7" borderId="14" xfId="0"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Font="1" applyFill="1" applyBorder="1" applyAlignment="1">
      <alignment horizontal="center" vertical="center" wrapText="1"/>
    </xf>
    <xf numFmtId="49" fontId="2" fillId="11" borderId="21" xfId="0"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Font="1" applyBorder="1" applyAlignment="1">
      <alignment horizontal="center" vertical="center" wrapText="1"/>
    </xf>
    <xf numFmtId="49" fontId="20" fillId="0" borderId="27" xfId="0" applyFont="1" applyBorder="1" applyAlignment="1">
      <alignment horizontal="center" vertical="center" wrapText="1"/>
    </xf>
    <xf numFmtId="49" fontId="20" fillId="0" borderId="14" xfId="0"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Font="1" applyFill="1" applyAlignment="1">
      <alignment horizontal="center" vertical="center" textRotation="90" wrapText="1"/>
    </xf>
    <xf numFmtId="49" fontId="0" fillId="0" borderId="3" xfId="0" applyBorder="1" applyAlignment="1">
      <alignment horizontal="center" vertical="center" wrapText="1"/>
    </xf>
    <xf numFmtId="49" fontId="2" fillId="0" borderId="5" xfId="0"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5" borderId="3" xfId="0" applyNumberFormat="1" applyFill="1" applyBorder="1" applyAlignment="1">
      <alignment horizontal="center" vertical="center" wrapText="1"/>
    </xf>
    <xf numFmtId="49" fontId="0" fillId="0" borderId="3" xfId="0"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Font="1" applyFill="1" applyBorder="1" applyAlignment="1">
      <alignment horizontal="center" vertical="center" wrapText="1"/>
    </xf>
    <xf numFmtId="49" fontId="2" fillId="22" borderId="6" xfId="0" applyFont="1" applyFill="1" applyBorder="1" applyAlignment="1">
      <alignment horizontal="center" vertical="center" wrapText="1"/>
    </xf>
    <xf numFmtId="49" fontId="2" fillId="12" borderId="10" xfId="0" applyFont="1" applyFill="1" applyBorder="1" applyAlignment="1">
      <alignment horizontal="center" vertical="center" wrapText="1"/>
    </xf>
    <xf numFmtId="49" fontId="2" fillId="12" borderId="0" xfId="0" applyFont="1" applyFill="1" applyAlignment="1">
      <alignment horizontal="center" vertical="center" wrapText="1"/>
    </xf>
    <xf numFmtId="49" fontId="2" fillId="12" borderId="19" xfId="0"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Font="1" applyFill="1" applyBorder="1" applyAlignment="1">
      <alignment horizontal="center" vertical="center" wrapText="1"/>
    </xf>
    <xf numFmtId="49" fontId="19" fillId="18" borderId="6" xfId="0" applyFont="1" applyFill="1" applyBorder="1" applyAlignment="1">
      <alignment horizontal="center" vertical="center" wrapText="1"/>
    </xf>
    <xf numFmtId="49" fontId="19" fillId="18" borderId="4" xfId="0" applyFont="1" applyFill="1" applyBorder="1" applyAlignment="1">
      <alignment horizontal="center" vertical="center" wrapText="1"/>
    </xf>
    <xf numFmtId="49" fontId="19" fillId="21" borderId="5" xfId="0" applyFont="1" applyFill="1" applyBorder="1" applyAlignment="1">
      <alignment horizontal="center" vertical="center" wrapText="1"/>
    </xf>
    <xf numFmtId="49" fontId="19" fillId="21" borderId="6" xfId="0" applyFont="1" applyFill="1" applyBorder="1" applyAlignment="1">
      <alignment horizontal="center" vertical="center" wrapText="1"/>
    </xf>
    <xf numFmtId="49" fontId="19" fillId="21" borderId="4" xfId="0" applyFont="1" applyFill="1" applyBorder="1" applyAlignment="1">
      <alignment horizontal="center" vertical="center" wrapText="1"/>
    </xf>
    <xf numFmtId="49" fontId="2" fillId="12" borderId="3" xfId="0" applyFont="1" applyFill="1" applyBorder="1" applyAlignment="1">
      <alignment horizontal="center" vertical="center" wrapText="1"/>
    </xf>
    <xf numFmtId="49" fontId="2" fillId="0" borderId="6" xfId="0" applyFont="1" applyBorder="1" applyAlignment="1">
      <alignment horizontal="center" vertical="center" wrapText="1"/>
    </xf>
    <xf numFmtId="49" fontId="2" fillId="0" borderId="0" xfId="0"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ill="1" applyBorder="1" applyAlignment="1">
      <alignment horizontal="left" vertical="top" wrapText="1"/>
    </xf>
    <xf numFmtId="0" fontId="0" fillId="6" borderId="27" xfId="0" applyNumberFormat="1" applyFill="1" applyBorder="1" applyAlignment="1">
      <alignment horizontal="left" vertical="top" wrapText="1"/>
    </xf>
    <xf numFmtId="0" fontId="0" fillId="6" borderId="14" xfId="0" applyNumberForma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Font="1" applyBorder="1" applyAlignment="1">
      <alignment horizontal="left" vertical="top" wrapText="1"/>
    </xf>
    <xf numFmtId="49" fontId="2" fillId="0" borderId="21" xfId="0"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Font="1" applyFill="1" applyBorder="1" applyAlignment="1">
      <alignment horizontal="left" vertical="center" wrapText="1"/>
    </xf>
    <xf numFmtId="49" fontId="0" fillId="0" borderId="6" xfId="0" applyBorder="1" applyAlignment="1">
      <alignment horizontal="left" vertical="center" indent="1"/>
    </xf>
    <xf numFmtId="49" fontId="0" fillId="0" borderId="3" xfId="0" applyBorder="1" applyAlignment="1">
      <alignment horizontal="center" vertical="top"/>
    </xf>
    <xf numFmtId="49" fontId="0" fillId="0" borderId="5" xfId="0"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tokogalym@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83876-4112-674C-10A4-7D2E1640C93E}">
  <dimension ref="A1:AB21"/>
  <sheetViews>
    <sheetView showGridLines="0" showRowColHeaders="0" workbookViewId="0"/>
  </sheetViews>
  <sheetFormatPr defaultColWidth="11" defaultRowHeight="12.75" customHeight="1"/>
  <cols>
    <col min="1" max="1" width="5.42578125" style="26" customWidth="1"/>
    <col min="2" max="2" width="9.140625" style="26" customWidth="1"/>
    <col min="3" max="3" width="16.42578125" style="26" customWidth="1"/>
    <col min="4" max="25" width="6.28515625" style="26" customWidth="1"/>
    <col min="26" max="28" width="11" style="26"/>
  </cols>
  <sheetData>
    <row r="1" spans="1:28" ht="15.75" customHeight="1">
      <c r="A1" s="941"/>
      <c r="B1" s="942"/>
      <c r="C1" s="942"/>
      <c r="D1" s="942"/>
      <c r="E1" s="942"/>
      <c r="F1" s="942"/>
      <c r="G1" s="942"/>
      <c r="H1" s="942"/>
      <c r="I1" s="942"/>
      <c r="J1" s="942"/>
      <c r="K1" s="942"/>
      <c r="L1" s="942"/>
      <c r="M1" s="942"/>
      <c r="N1" s="942"/>
      <c r="O1" s="942"/>
      <c r="P1" s="942"/>
      <c r="Q1" s="942"/>
      <c r="R1" s="942"/>
      <c r="S1" s="942"/>
      <c r="T1" s="942"/>
      <c r="U1" s="942"/>
      <c r="V1" s="942"/>
      <c r="W1" s="942"/>
      <c r="X1" s="942"/>
      <c r="Y1" s="943"/>
      <c r="Z1" s="942"/>
      <c r="AA1" s="944" t="s">
        <v>0</v>
      </c>
      <c r="AB1" s="942"/>
    </row>
    <row r="2" spans="1:28" ht="17.25" customHeight="1">
      <c r="A2" s="942"/>
      <c r="B2" s="1054" t="s">
        <v>1</v>
      </c>
      <c r="C2" s="1054"/>
      <c r="D2" s="1054"/>
      <c r="E2" s="1054"/>
      <c r="F2" s="1054"/>
      <c r="G2" s="1054"/>
      <c r="H2" s="1054"/>
      <c r="I2" s="1054"/>
      <c r="J2" s="1054"/>
      <c r="K2" s="1054"/>
      <c r="L2" s="1054"/>
      <c r="M2" s="1054"/>
      <c r="N2" s="1054"/>
      <c r="O2" s="1054"/>
      <c r="P2" s="1054"/>
      <c r="Q2" s="945"/>
      <c r="R2" s="945"/>
      <c r="S2" s="945"/>
      <c r="T2" s="945"/>
      <c r="U2" s="945"/>
      <c r="V2" s="946"/>
      <c r="W2" s="945"/>
      <c r="X2" s="945"/>
      <c r="Y2" s="943"/>
      <c r="Z2" s="942"/>
      <c r="AA2" s="944"/>
      <c r="AB2" s="942"/>
    </row>
    <row r="3" spans="1:28" ht="15.75" customHeight="1">
      <c r="A3" s="942"/>
      <c r="B3" s="1055" t="s">
        <v>2</v>
      </c>
      <c r="C3" s="1055"/>
      <c r="D3" s="1055"/>
      <c r="E3" s="1055"/>
      <c r="F3" s="1055"/>
      <c r="G3" s="1055"/>
      <c r="H3" s="1055"/>
      <c r="I3" s="1055"/>
      <c r="J3" s="1055"/>
      <c r="K3" s="1055"/>
      <c r="L3" s="1055"/>
      <c r="M3" s="1055"/>
      <c r="N3" s="1055"/>
      <c r="O3" s="1055"/>
      <c r="P3" s="1055"/>
      <c r="Q3" s="946"/>
      <c r="R3" s="946"/>
      <c r="S3" s="945"/>
      <c r="T3" s="945"/>
      <c r="U3" s="945"/>
      <c r="V3" s="946"/>
      <c r="W3" s="946"/>
      <c r="X3" s="946"/>
      <c r="Y3" s="946"/>
      <c r="Z3" s="942"/>
      <c r="AA3" s="944"/>
      <c r="AB3" s="942"/>
    </row>
    <row r="4" spans="1:28" ht="17.25" customHeight="1">
      <c r="A4" s="942"/>
      <c r="B4" s="947"/>
      <c r="C4" s="942"/>
      <c r="D4" s="946"/>
      <c r="E4" s="946"/>
      <c r="F4" s="946"/>
      <c r="G4" s="946"/>
      <c r="H4" s="946"/>
      <c r="I4" s="946"/>
      <c r="J4" s="946"/>
      <c r="K4" s="946"/>
      <c r="L4" s="946"/>
      <c r="M4" s="946"/>
      <c r="N4" s="946"/>
      <c r="O4" s="946"/>
      <c r="P4" s="946"/>
      <c r="Q4" s="946"/>
      <c r="R4" s="946"/>
      <c r="S4" s="946"/>
      <c r="T4" s="946"/>
      <c r="U4" s="946"/>
      <c r="V4" s="946"/>
      <c r="W4" s="946"/>
      <c r="X4" s="946"/>
      <c r="Y4" s="946"/>
      <c r="Z4" s="942"/>
      <c r="AA4" s="944"/>
      <c r="AB4" s="942"/>
    </row>
    <row r="5" spans="1:28" ht="22.5" customHeight="1">
      <c r="A5" s="948"/>
      <c r="B5" s="105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057"/>
      <c r="D5" s="1057"/>
      <c r="E5" s="1057"/>
      <c r="F5" s="1057"/>
      <c r="G5" s="1057"/>
      <c r="H5" s="1057"/>
      <c r="I5" s="1057"/>
      <c r="J5" s="1057"/>
      <c r="K5" s="1057"/>
      <c r="L5" s="1057"/>
      <c r="M5" s="1057"/>
      <c r="N5" s="1057"/>
      <c r="O5" s="1057"/>
      <c r="P5" s="1057"/>
      <c r="Q5" s="1057"/>
      <c r="R5" s="1057"/>
      <c r="S5" s="1057"/>
      <c r="T5" s="1057"/>
      <c r="U5" s="1057"/>
      <c r="V5" s="1057"/>
      <c r="W5" s="1057"/>
      <c r="X5" s="1057"/>
      <c r="Y5" s="1058"/>
      <c r="Z5" s="948"/>
      <c r="AA5" s="944"/>
      <c r="AB5" s="948"/>
    </row>
    <row r="6" spans="1:28" ht="15" customHeight="1">
      <c r="A6" s="949"/>
      <c r="B6" s="1046" t="s">
        <v>3</v>
      </c>
      <c r="C6" s="1049"/>
      <c r="D6" s="950"/>
      <c r="E6" s="950"/>
      <c r="F6" s="950"/>
      <c r="G6" s="950"/>
      <c r="H6" s="950"/>
      <c r="I6" s="950"/>
      <c r="J6" s="950"/>
      <c r="K6" s="950"/>
      <c r="L6" s="950"/>
      <c r="M6" s="950"/>
      <c r="N6" s="950"/>
      <c r="O6" s="950"/>
      <c r="P6" s="950"/>
      <c r="Q6" s="950"/>
      <c r="R6" s="950"/>
      <c r="S6" s="950"/>
      <c r="T6" s="950"/>
      <c r="U6" s="950"/>
      <c r="V6" s="950"/>
      <c r="W6" s="950"/>
      <c r="X6" s="950"/>
      <c r="Y6" s="951"/>
      <c r="Z6" s="952"/>
      <c r="AA6" s="953"/>
      <c r="AB6" s="953"/>
    </row>
    <row r="7" spans="1:28" ht="15" customHeight="1">
      <c r="A7" s="949"/>
      <c r="B7" s="1046"/>
      <c r="C7" s="1049"/>
      <c r="D7" s="950"/>
      <c r="E7" s="950"/>
      <c r="F7" s="954"/>
      <c r="G7" s="954"/>
      <c r="H7" s="954"/>
      <c r="I7" s="954"/>
      <c r="J7" s="954"/>
      <c r="K7" s="954"/>
      <c r="L7" s="954"/>
      <c r="M7" s="954"/>
      <c r="N7" s="954"/>
      <c r="O7" s="950"/>
      <c r="P7" s="954"/>
      <c r="Q7" s="954"/>
      <c r="R7" s="954"/>
      <c r="S7" s="954"/>
      <c r="T7" s="954"/>
      <c r="U7" s="954"/>
      <c r="V7" s="954"/>
      <c r="W7" s="954"/>
      <c r="X7" s="954"/>
      <c r="Y7" s="951"/>
      <c r="Z7" s="952"/>
      <c r="AA7" s="953"/>
      <c r="AB7" s="953"/>
    </row>
    <row r="8" spans="1:28" ht="15" customHeight="1">
      <c r="A8" s="949"/>
      <c r="B8" s="1046"/>
      <c r="C8" s="1049"/>
      <c r="D8" s="955"/>
      <c r="E8" s="956" t="s">
        <v>4</v>
      </c>
      <c r="F8" s="1059" t="s">
        <v>5</v>
      </c>
      <c r="G8" s="1048"/>
      <c r="H8" s="1048"/>
      <c r="I8" s="1048"/>
      <c r="J8" s="1048"/>
      <c r="K8" s="1048"/>
      <c r="L8" s="1048"/>
      <c r="M8" s="1048"/>
      <c r="N8" s="955"/>
      <c r="O8" s="957" t="s">
        <v>4</v>
      </c>
      <c r="P8" s="1060" t="s">
        <v>6</v>
      </c>
      <c r="Q8" s="1061"/>
      <c r="R8" s="1061"/>
      <c r="S8" s="1061"/>
      <c r="T8" s="1061"/>
      <c r="U8" s="1061"/>
      <c r="V8" s="1061"/>
      <c r="W8" s="1061"/>
      <c r="X8" s="1061"/>
      <c r="Y8" s="951"/>
      <c r="Z8" s="952"/>
      <c r="AA8" s="953"/>
      <c r="AB8" s="953"/>
    </row>
    <row r="9" spans="1:28" ht="15" customHeight="1">
      <c r="A9" s="949"/>
      <c r="B9" s="1046"/>
      <c r="C9" s="1049"/>
      <c r="D9" s="955"/>
      <c r="E9" s="958" t="s">
        <v>4</v>
      </c>
      <c r="F9" s="1059" t="s">
        <v>7</v>
      </c>
      <c r="G9" s="1048"/>
      <c r="H9" s="1048"/>
      <c r="I9" s="1048"/>
      <c r="J9" s="1048"/>
      <c r="K9" s="1048"/>
      <c r="L9" s="1048"/>
      <c r="M9" s="1048"/>
      <c r="N9" s="955"/>
      <c r="O9" s="959" t="s">
        <v>4</v>
      </c>
      <c r="P9" s="1060" t="s">
        <v>8</v>
      </c>
      <c r="Q9" s="1061"/>
      <c r="R9" s="1061"/>
      <c r="S9" s="1061"/>
      <c r="T9" s="1061"/>
      <c r="U9" s="1061"/>
      <c r="V9" s="1061"/>
      <c r="W9" s="1061"/>
      <c r="X9" s="1061"/>
      <c r="Y9" s="951"/>
      <c r="Z9" s="952"/>
      <c r="AA9" s="953"/>
      <c r="AB9" s="953"/>
    </row>
    <row r="10" spans="1:28" ht="30" customHeight="1">
      <c r="A10" s="949"/>
      <c r="B10" s="1046"/>
      <c r="C10" s="1047"/>
      <c r="D10" s="960"/>
      <c r="E10" s="961"/>
      <c r="F10" s="954"/>
      <c r="G10" s="954"/>
      <c r="H10" s="954"/>
      <c r="I10" s="954"/>
      <c r="J10" s="954"/>
      <c r="K10" s="954"/>
      <c r="L10" s="954"/>
      <c r="M10" s="954"/>
      <c r="N10" s="954"/>
      <c r="O10" s="961"/>
      <c r="P10" s="954"/>
      <c r="Q10" s="954"/>
      <c r="R10" s="954"/>
      <c r="S10" s="954"/>
      <c r="T10" s="954"/>
      <c r="U10" s="954"/>
      <c r="V10" s="954"/>
      <c r="W10" s="954"/>
      <c r="X10" s="954"/>
      <c r="Y10" s="951"/>
      <c r="Z10" s="952"/>
      <c r="AA10" s="953"/>
      <c r="AB10" s="953"/>
    </row>
    <row r="11" spans="1:28" ht="19.5" customHeight="1">
      <c r="A11" s="949"/>
      <c r="B11" s="1044" t="s">
        <v>9</v>
      </c>
      <c r="C11" s="1045"/>
      <c r="D11" s="955"/>
      <c r="E11" s="962"/>
      <c r="F11" s="962"/>
      <c r="G11" s="962"/>
      <c r="H11" s="962"/>
      <c r="I11" s="962"/>
      <c r="J11" s="962"/>
      <c r="K11" s="962"/>
      <c r="L11" s="962"/>
      <c r="M11" s="962"/>
      <c r="N11" s="962"/>
      <c r="O11" s="962"/>
      <c r="P11" s="962"/>
      <c r="Q11" s="962"/>
      <c r="R11" s="962"/>
      <c r="S11" s="962"/>
      <c r="T11" s="962"/>
      <c r="U11" s="962"/>
      <c r="V11" s="962"/>
      <c r="W11" s="962"/>
      <c r="X11" s="962"/>
      <c r="Y11" s="951"/>
      <c r="Z11" s="952"/>
      <c r="AA11" s="953"/>
      <c r="AB11" s="953"/>
    </row>
    <row r="12" spans="1:28" ht="69" customHeight="1">
      <c r="A12" s="949"/>
      <c r="B12" s="1046"/>
      <c r="C12" s="1047"/>
      <c r="D12" s="963"/>
      <c r="E12" s="1048" t="s">
        <v>10</v>
      </c>
      <c r="F12" s="1048"/>
      <c r="G12" s="1048"/>
      <c r="H12" s="1048"/>
      <c r="I12" s="1048"/>
      <c r="J12" s="1048"/>
      <c r="K12" s="1048"/>
      <c r="L12" s="1048"/>
      <c r="M12" s="1048"/>
      <c r="N12" s="1048"/>
      <c r="O12" s="1048"/>
      <c r="P12" s="1048"/>
      <c r="Q12" s="1048"/>
      <c r="R12" s="1048"/>
      <c r="S12" s="1048"/>
      <c r="T12" s="1048"/>
      <c r="U12" s="1048"/>
      <c r="V12" s="1048"/>
      <c r="W12" s="1048"/>
      <c r="X12" s="1048"/>
      <c r="Y12" s="951"/>
      <c r="Z12" s="952"/>
      <c r="AA12" s="953"/>
      <c r="AB12" s="953"/>
    </row>
    <row r="13" spans="1:28" ht="15" customHeight="1">
      <c r="A13" s="949"/>
      <c r="B13" s="1044" t="s">
        <v>11</v>
      </c>
      <c r="C13" s="1045"/>
      <c r="D13" s="950"/>
      <c r="E13" s="962"/>
      <c r="F13" s="962"/>
      <c r="G13" s="962"/>
      <c r="H13" s="962"/>
      <c r="I13" s="962"/>
      <c r="J13" s="962"/>
      <c r="K13" s="962"/>
      <c r="L13" s="962"/>
      <c r="M13" s="962"/>
      <c r="N13" s="962"/>
      <c r="O13" s="962"/>
      <c r="P13" s="962"/>
      <c r="Q13" s="962"/>
      <c r="R13" s="962"/>
      <c r="S13" s="962"/>
      <c r="T13" s="962"/>
      <c r="U13" s="962"/>
      <c r="V13" s="962"/>
      <c r="W13" s="962"/>
      <c r="X13" s="962"/>
      <c r="Y13" s="951"/>
      <c r="Z13" s="952"/>
      <c r="AA13" s="953"/>
      <c r="AB13" s="953"/>
    </row>
    <row r="14" spans="1:28" ht="57" customHeight="1">
      <c r="A14" s="949"/>
      <c r="B14" s="1046"/>
      <c r="C14" s="1049"/>
      <c r="D14" s="955"/>
      <c r="E14" s="1052" t="s">
        <v>12</v>
      </c>
      <c r="F14" s="1052"/>
      <c r="G14" s="1052"/>
      <c r="H14" s="1052"/>
      <c r="I14" s="1052"/>
      <c r="J14" s="1052"/>
      <c r="K14" s="1052"/>
      <c r="L14" s="1052"/>
      <c r="M14" s="1052"/>
      <c r="N14" s="1052"/>
      <c r="O14" s="1052"/>
      <c r="P14" s="1052"/>
      <c r="Q14" s="1052"/>
      <c r="R14" s="1052"/>
      <c r="S14" s="1052"/>
      <c r="T14" s="1052"/>
      <c r="U14" s="1052"/>
      <c r="V14" s="1052"/>
      <c r="W14" s="1052"/>
      <c r="X14" s="1052"/>
      <c r="Y14" s="951"/>
      <c r="Z14" s="952"/>
      <c r="AA14" s="953"/>
      <c r="AB14" s="953"/>
    </row>
    <row r="15" spans="1:28" ht="16.5" customHeight="1">
      <c r="A15" s="949"/>
      <c r="B15" s="1050"/>
      <c r="C15" s="1051"/>
      <c r="D15" s="964"/>
      <c r="E15" s="965"/>
      <c r="F15" s="965"/>
      <c r="G15" s="965"/>
      <c r="H15" s="965"/>
      <c r="I15" s="965"/>
      <c r="J15" s="965"/>
      <c r="K15" s="965"/>
      <c r="L15" s="965"/>
      <c r="M15" s="965"/>
      <c r="N15" s="965"/>
      <c r="O15" s="965"/>
      <c r="P15" s="965"/>
      <c r="Q15" s="965"/>
      <c r="R15" s="965"/>
      <c r="S15" s="965"/>
      <c r="T15" s="965"/>
      <c r="U15" s="965"/>
      <c r="V15" s="965"/>
      <c r="W15" s="965"/>
      <c r="X15" s="965"/>
      <c r="Y15" s="966"/>
      <c r="Z15" s="952"/>
      <c r="AA15" s="967"/>
      <c r="AB15" s="953"/>
    </row>
    <row r="16" spans="1:28" ht="95.25" customHeight="1">
      <c r="A16" s="942"/>
      <c r="B16" s="1052"/>
      <c r="C16" s="1053"/>
      <c r="D16" s="1053"/>
      <c r="E16" s="1053"/>
      <c r="F16" s="1053"/>
      <c r="G16" s="1053"/>
      <c r="H16" s="1053"/>
      <c r="I16" s="1053"/>
      <c r="J16" s="1053"/>
      <c r="K16" s="1053"/>
      <c r="L16" s="1053"/>
      <c r="M16" s="1053"/>
      <c r="N16" s="1053"/>
      <c r="O16" s="1053"/>
      <c r="P16" s="1053"/>
      <c r="Q16" s="1053"/>
      <c r="R16" s="1053"/>
      <c r="S16" s="1053"/>
      <c r="T16" s="1053"/>
      <c r="U16" s="1053"/>
      <c r="V16" s="1053"/>
      <c r="W16" s="1053"/>
      <c r="X16" s="1053"/>
      <c r="Y16" s="1053"/>
      <c r="Z16" s="942"/>
      <c r="AA16" s="944"/>
      <c r="AB16" s="942"/>
    </row>
    <row r="17" spans="1:28" ht="14.25" customHeight="1">
      <c r="A17" s="942"/>
      <c r="B17" s="942"/>
      <c r="C17" s="942"/>
      <c r="D17" s="942"/>
      <c r="E17" s="942"/>
      <c r="F17" s="942"/>
      <c r="G17" s="942"/>
      <c r="H17" s="942"/>
      <c r="I17" s="942"/>
      <c r="J17" s="942"/>
      <c r="K17" s="942"/>
      <c r="L17" s="942"/>
      <c r="M17" s="942"/>
      <c r="N17" s="942"/>
      <c r="O17" s="942"/>
      <c r="P17" s="942"/>
      <c r="Q17" s="942"/>
      <c r="R17" s="942"/>
      <c r="S17" s="942"/>
      <c r="T17" s="942"/>
      <c r="U17" s="942"/>
      <c r="V17" s="942"/>
      <c r="W17" s="942"/>
      <c r="X17" s="942"/>
      <c r="Y17" s="943"/>
      <c r="Z17" s="942"/>
      <c r="AA17" s="944"/>
      <c r="AB17" s="942"/>
    </row>
    <row r="18" spans="1:28" ht="14.25" customHeight="1">
      <c r="A18" s="942"/>
      <c r="B18" s="942"/>
      <c r="C18" s="942"/>
      <c r="D18" s="942"/>
      <c r="E18" s="942"/>
      <c r="F18" s="942"/>
      <c r="G18" s="942"/>
      <c r="H18" s="942"/>
      <c r="I18" s="942"/>
      <c r="J18" s="942"/>
      <c r="K18" s="942"/>
      <c r="L18" s="942"/>
      <c r="M18" s="942"/>
      <c r="N18" s="942"/>
      <c r="O18" s="942"/>
      <c r="P18" s="942"/>
      <c r="Q18" s="942"/>
      <c r="R18" s="942"/>
      <c r="S18" s="942"/>
      <c r="T18" s="942"/>
      <c r="U18" s="942"/>
      <c r="V18" s="942"/>
      <c r="W18" s="942"/>
      <c r="X18" s="942"/>
      <c r="Y18" s="943"/>
      <c r="Z18" s="942"/>
      <c r="AA18" s="944"/>
      <c r="AB18" s="942"/>
    </row>
    <row r="19" spans="1:28" ht="14.25" customHeight="1">
      <c r="A19" s="942"/>
      <c r="B19" s="942"/>
      <c r="C19" s="942"/>
      <c r="D19" s="942"/>
      <c r="E19" s="942"/>
      <c r="F19" s="942"/>
      <c r="G19" s="942"/>
      <c r="H19" s="942"/>
      <c r="I19" s="942"/>
      <c r="J19" s="942"/>
      <c r="K19" s="942"/>
      <c r="L19" s="942"/>
      <c r="M19" s="942"/>
      <c r="N19" s="942"/>
      <c r="O19" s="942"/>
      <c r="P19" s="942"/>
      <c r="Q19" s="942"/>
      <c r="R19" s="942"/>
      <c r="S19" s="942"/>
      <c r="T19" s="942"/>
      <c r="U19" s="942"/>
      <c r="V19" s="942"/>
      <c r="W19" s="942"/>
      <c r="X19" s="942"/>
      <c r="Y19" s="943"/>
      <c r="Z19" s="942"/>
      <c r="AA19" s="944"/>
      <c r="AB19" s="942"/>
    </row>
    <row r="20" spans="1:28" ht="14.25" customHeight="1">
      <c r="A20" s="942"/>
      <c r="B20" s="942"/>
      <c r="C20" s="942"/>
      <c r="D20" s="942"/>
      <c r="E20" s="942"/>
      <c r="F20" s="942"/>
      <c r="G20" s="942"/>
      <c r="H20" s="942"/>
      <c r="I20" s="942"/>
      <c r="J20" s="942"/>
      <c r="K20" s="942"/>
      <c r="L20" s="942"/>
      <c r="M20" s="942"/>
      <c r="N20" s="942"/>
      <c r="O20" s="942"/>
      <c r="P20" s="942"/>
      <c r="Q20" s="942"/>
      <c r="R20" s="942"/>
      <c r="S20" s="942"/>
      <c r="T20" s="942"/>
      <c r="U20" s="942"/>
      <c r="V20" s="942"/>
      <c r="W20" s="942"/>
      <c r="X20" s="942"/>
      <c r="Y20" s="943"/>
      <c r="Z20" s="942"/>
      <c r="AA20" s="944"/>
      <c r="AB20" s="942"/>
    </row>
    <row r="21" spans="1:28" ht="14.25" customHeight="1">
      <c r="A21" s="942"/>
      <c r="B21" s="942"/>
      <c r="C21" s="942"/>
      <c r="D21" s="942"/>
      <c r="E21" s="942"/>
      <c r="F21" s="942"/>
      <c r="G21" s="942"/>
      <c r="H21" s="942"/>
      <c r="I21" s="942"/>
      <c r="J21" s="942"/>
      <c r="K21" s="942"/>
      <c r="L21" s="942"/>
      <c r="M21" s="942"/>
      <c r="N21" s="942"/>
      <c r="O21" s="942"/>
      <c r="P21" s="942"/>
      <c r="Q21" s="942"/>
      <c r="R21" s="942"/>
      <c r="S21" s="942"/>
      <c r="T21" s="942"/>
      <c r="U21" s="942"/>
      <c r="V21" s="942"/>
      <c r="W21" s="942"/>
      <c r="X21" s="942"/>
      <c r="Y21" s="943"/>
      <c r="Z21" s="942"/>
      <c r="AA21" s="944"/>
      <c r="AB21" s="942"/>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D1B0E-B362-2117-6E7F-5A491FB495E8}">
  <sheetPr>
    <tabColor rgb="FFCCCCFF"/>
  </sheetPr>
  <dimension ref="A1:P78"/>
  <sheetViews>
    <sheetView showGridLines="0" topLeftCell="C1" zoomScale="90" workbookViewId="0">
      <selection activeCell="E78" sqref="E78"/>
    </sheetView>
  </sheetViews>
  <sheetFormatPr defaultColWidth="9.140625" defaultRowHeight="11.25" customHeight="1"/>
  <cols>
    <col min="1" max="1" width="10.7109375" style="461" hidden="1" customWidth="1"/>
    <col min="2" max="2" width="10.7109375" style="29" hidden="1" customWidth="1"/>
    <col min="3" max="3" width="3.7109375" style="7" customWidth="1"/>
    <col min="4" max="4" width="1.7109375" style="9" customWidth="1"/>
    <col min="5" max="5" width="55.28515625" style="9" customWidth="1"/>
    <col min="6" max="6" width="50.7109375" style="9" customWidth="1"/>
    <col min="7" max="7" width="1.7109375" style="56" customWidth="1"/>
    <col min="8" max="8" width="18" style="9" hidden="1" customWidth="1"/>
    <col min="9" max="9" width="9.5703125" style="218" customWidth="1"/>
    <col min="10" max="10" width="52.140625" style="60" hidden="1" customWidth="1"/>
    <col min="11" max="11" width="9.140625" style="9"/>
    <col min="12" max="12" width="78" style="9" customWidth="1"/>
    <col min="13" max="16" width="9.140625" style="9"/>
  </cols>
  <sheetData>
    <row r="1" spans="1:11" s="139" customFormat="1" ht="3" customHeight="1">
      <c r="A1" s="461"/>
      <c r="B1" s="138"/>
      <c r="F1" s="139">
        <v>26354809</v>
      </c>
      <c r="G1" s="218"/>
      <c r="H1" s="6"/>
      <c r="I1" s="218"/>
      <c r="J1" s="65"/>
    </row>
    <row r="2" spans="1:11" s="6" customFormat="1" ht="14.25" customHeight="1">
      <c r="A2" s="461"/>
      <c r="B2" s="29"/>
      <c r="E2" s="980" t="str">
        <f>code</f>
        <v>Код отчёта: PP108.OPEN.INFO.QUARTER.COLDVSNA.EIAS</v>
      </c>
      <c r="F2" s="156"/>
      <c r="G2" s="32"/>
      <c r="H2" s="32"/>
      <c r="I2" s="32"/>
      <c r="J2" s="519"/>
      <c r="K2" s="32"/>
    </row>
    <row r="3" spans="1:11" ht="14.25" customHeight="1">
      <c r="E3" s="141" t="str">
        <f>version</f>
        <v>Версия отчёта: 1.0.2</v>
      </c>
      <c r="F3" s="156"/>
      <c r="G3"/>
      <c r="H3"/>
      <c r="I3"/>
      <c r="J3" s="59"/>
      <c r="K3"/>
    </row>
    <row r="4" spans="1:11" s="133" customFormat="1" ht="6" customHeight="1">
      <c r="A4" s="461"/>
      <c r="B4" s="129"/>
      <c r="C4" s="130"/>
      <c r="D4" s="131"/>
      <c r="F4" s="140"/>
      <c r="G4" s="56"/>
      <c r="H4" s="9"/>
      <c r="I4" s="218"/>
      <c r="J4" s="411"/>
    </row>
    <row r="5" spans="1:11" ht="37.5" customHeight="1">
      <c r="D5" s="10"/>
      <c r="E5" s="1062"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063"/>
      <c r="G5" s="453"/>
      <c r="J5" s="520"/>
    </row>
    <row r="6" spans="1:11" s="133" customFormat="1" ht="6" customHeight="1">
      <c r="A6" s="461"/>
      <c r="B6" s="129"/>
      <c r="C6" s="130"/>
      <c r="D6" s="131"/>
      <c r="E6" s="134"/>
      <c r="F6" s="135"/>
      <c r="G6" s="453"/>
      <c r="H6" s="9"/>
      <c r="I6" s="218"/>
      <c r="J6" s="411"/>
    </row>
    <row r="7" spans="1:11" ht="19.5" customHeight="1">
      <c r="D7" s="10"/>
      <c r="E7" s="234" t="s">
        <v>13</v>
      </c>
      <c r="F7" s="115" t="s">
        <v>14</v>
      </c>
      <c r="G7" s="453"/>
    </row>
    <row r="8" spans="1:11" s="133" customFormat="1" ht="6" customHeight="1">
      <c r="A8" s="462"/>
      <c r="B8" s="129"/>
      <c r="C8" s="130"/>
      <c r="D8" s="136"/>
      <c r="E8" s="134"/>
      <c r="F8" s="137"/>
      <c r="G8" s="12"/>
      <c r="H8" s="9"/>
      <c r="I8" s="218"/>
      <c r="J8" s="521"/>
    </row>
    <row r="9" spans="1:11" s="9" customFormat="1" ht="19.5" hidden="1" customHeight="1">
      <c r="A9" s="461"/>
      <c r="B9" s="29"/>
      <c r="C9" s="7"/>
      <c r="D9" s="10"/>
      <c r="E9" s="234" t="s">
        <v>15</v>
      </c>
      <c r="F9" s="208"/>
      <c r="G9" s="453"/>
      <c r="I9" s="218"/>
      <c r="J9" s="60"/>
    </row>
    <row r="10" spans="1:11" s="133" customFormat="1" ht="6" customHeight="1">
      <c r="A10" s="462"/>
      <c r="B10" s="129"/>
      <c r="C10" s="130"/>
      <c r="D10" s="136"/>
      <c r="E10" s="134"/>
      <c r="F10" s="137"/>
      <c r="G10" s="12"/>
      <c r="H10" s="9"/>
      <c r="I10" s="218"/>
      <c r="J10" s="521"/>
    </row>
    <row r="11" spans="1:11" ht="22.5" hidden="1" customHeight="1">
      <c r="A11" s="1065" t="s">
        <v>16</v>
      </c>
      <c r="D11" s="10"/>
      <c r="E11" s="234" t="s">
        <v>17</v>
      </c>
      <c r="F11" s="972" t="s">
        <v>18</v>
      </c>
      <c r="G11" s="12"/>
      <c r="H11" s="454" t="s">
        <v>19</v>
      </c>
      <c r="J11" s="60" t="s">
        <v>20</v>
      </c>
    </row>
    <row r="12" spans="1:11" ht="22.5" hidden="1" customHeight="1">
      <c r="A12" s="1065"/>
      <c r="D12" s="10"/>
      <c r="E12" s="234" t="s">
        <v>21</v>
      </c>
      <c r="F12" s="972"/>
      <c r="G12" s="8"/>
      <c r="J12" s="60" t="s">
        <v>22</v>
      </c>
    </row>
    <row r="13" spans="1:11" s="9" customFormat="1" ht="22.5" hidden="1" customHeight="1">
      <c r="A13" s="464" t="s">
        <v>23</v>
      </c>
      <c r="B13" s="29"/>
      <c r="C13" s="7"/>
      <c r="D13" s="10"/>
      <c r="E13" s="1008" t="s">
        <v>24</v>
      </c>
      <c r="F13" s="972" t="s">
        <v>18</v>
      </c>
      <c r="G13" s="12"/>
      <c r="H13"/>
      <c r="I13" s="218"/>
      <c r="J13" s="519" t="s">
        <v>25</v>
      </c>
    </row>
    <row r="14" spans="1:11" s="9" customFormat="1" ht="27" customHeight="1">
      <c r="A14" s="464" t="s">
        <v>26</v>
      </c>
      <c r="B14" s="29"/>
      <c r="C14" s="7"/>
      <c r="D14" s="10"/>
      <c r="E14" s="234" t="s">
        <v>27</v>
      </c>
      <c r="F14" s="103">
        <v>2023</v>
      </c>
      <c r="G14" s="12"/>
      <c r="H14"/>
      <c r="I14" s="218"/>
      <c r="J14" s="60" t="s">
        <v>28</v>
      </c>
    </row>
    <row r="15" spans="1:11" s="9" customFormat="1" ht="19.5" customHeight="1">
      <c r="A15" s="464" t="s">
        <v>29</v>
      </c>
      <c r="B15" s="29"/>
      <c r="C15" s="7"/>
      <c r="D15" s="10"/>
      <c r="E15" s="234" t="s">
        <v>30</v>
      </c>
      <c r="F15" s="103" t="s">
        <v>31</v>
      </c>
      <c r="G15" s="12"/>
      <c r="H15"/>
      <c r="I15" s="218"/>
      <c r="J15" s="60" t="s">
        <v>32</v>
      </c>
    </row>
    <row r="16" spans="1:11" s="133" customFormat="1" ht="6" customHeight="1">
      <c r="A16" s="462"/>
      <c r="B16" s="129"/>
      <c r="C16" s="130"/>
      <c r="D16" s="136"/>
      <c r="E16" s="134"/>
      <c r="F16" s="137"/>
      <c r="G16" s="12"/>
      <c r="H16" s="9"/>
      <c r="I16" s="218"/>
      <c r="J16" s="411"/>
    </row>
    <row r="17" spans="1:10" ht="19.5" customHeight="1">
      <c r="D17" s="10"/>
      <c r="E17" s="234" t="s">
        <v>33</v>
      </c>
      <c r="F17" s="116" t="s">
        <v>34</v>
      </c>
      <c r="G17" s="8"/>
      <c r="H17" s="454" t="s">
        <v>19</v>
      </c>
    </row>
    <row r="18" spans="1:10" ht="22.5" hidden="1" customHeight="1">
      <c r="D18" s="10"/>
      <c r="E18" s="1008" t="s">
        <v>35</v>
      </c>
      <c r="F18" s="973" t="s">
        <v>36</v>
      </c>
      <c r="G18" s="8"/>
      <c r="I18" s="455"/>
      <c r="J18" s="1064" t="s">
        <v>37</v>
      </c>
    </row>
    <row r="19" spans="1:10" ht="22.5" hidden="1" customHeight="1">
      <c r="D19" s="10"/>
      <c r="E19" s="1008" t="s">
        <v>38</v>
      </c>
      <c r="F19" s="973"/>
      <c r="G19" s="8"/>
      <c r="I19" s="455"/>
      <c r="J19" s="1064"/>
    </row>
    <row r="20" spans="1:10" ht="22.5" hidden="1" customHeight="1">
      <c r="D20" s="10"/>
      <c r="E20" s="11"/>
      <c r="F20" s="56" t="str">
        <f>"Первичное "&amp;IF(TEMPLATE_GROUP="P","установление тарифов","предложение по тарифам")</f>
        <v>Первичное предложение по тарифам</v>
      </c>
      <c r="G20" s="8"/>
      <c r="I20" s="12"/>
      <c r="J20" s="520" t="s">
        <v>39</v>
      </c>
    </row>
    <row r="21" spans="1:10" ht="19.5" hidden="1" customHeight="1">
      <c r="D21" s="10"/>
      <c r="E21" s="234" t="str">
        <f>"Дата "&amp;IF(TEMPLATE_GROUP="P","документа","подачи заявления")&amp;" об "&amp;IF(TITLE_DATE_PR_CHANGE="","утверждении","изменении")&amp;" тарифов"</f>
        <v>Дата подачи заявления об утверждении тарифов</v>
      </c>
      <c r="F21" s="972" t="s">
        <v>18</v>
      </c>
      <c r="G21" s="8"/>
      <c r="I21" s="456"/>
    </row>
    <row r="22" spans="1:10" ht="19.5" hidden="1" customHeight="1">
      <c r="D22" s="10"/>
      <c r="E22" s="234"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16"/>
      <c r="G22" s="8"/>
      <c r="I22" s="456"/>
    </row>
    <row r="23" spans="1:10" ht="22.5" hidden="1" customHeight="1">
      <c r="D23" s="10"/>
      <c r="E23" s="234" t="s">
        <v>40</v>
      </c>
      <c r="F23" s="116"/>
      <c r="G23" s="8"/>
    </row>
    <row r="24" spans="1:10" ht="19.5" hidden="1" customHeight="1">
      <c r="D24" s="10"/>
      <c r="E24" s="234" t="s">
        <v>41</v>
      </c>
      <c r="F24" s="116"/>
      <c r="G24" s="8"/>
    </row>
    <row r="25" spans="1:10" ht="22.5" hidden="1" customHeight="1">
      <c r="D25" s="10"/>
      <c r="E25" s="11"/>
      <c r="F25" s="56" t="str">
        <f>"Изменение "&amp;IF(TEMPLATE_GROUP="P","тарифов","предложения по тарифам")</f>
        <v>Изменение предложения по тарифам</v>
      </c>
      <c r="G25" s="8"/>
      <c r="J25" s="520" t="s">
        <v>42</v>
      </c>
    </row>
    <row r="26" spans="1:10" ht="22.5" hidden="1" customHeight="1">
      <c r="D26" s="10"/>
      <c r="E26" s="234" t="s">
        <v>43</v>
      </c>
      <c r="F26" s="118"/>
      <c r="G26" s="8"/>
    </row>
    <row r="27" spans="1:10" ht="19.5" hidden="1" customHeight="1">
      <c r="D27" s="10"/>
      <c r="E27" s="234" t="s">
        <v>44</v>
      </c>
      <c r="F27" s="973"/>
      <c r="G27" s="8"/>
    </row>
    <row r="28" spans="1:10" ht="19.5" hidden="1" customHeight="1">
      <c r="D28" s="10"/>
      <c r="E28" s="234" t="s">
        <v>45</v>
      </c>
      <c r="F28" s="118"/>
      <c r="G28" s="8"/>
    </row>
    <row r="29" spans="1:10" ht="19.5" hidden="1" customHeight="1">
      <c r="D29" s="10"/>
      <c r="E29" s="234" t="s">
        <v>41</v>
      </c>
      <c r="F29" s="118"/>
      <c r="G29" s="8"/>
    </row>
    <row r="30" spans="1:10" s="133" customFormat="1" ht="6" customHeight="1">
      <c r="A30" s="462"/>
      <c r="B30" s="129"/>
      <c r="C30" s="130"/>
      <c r="D30" s="136"/>
      <c r="E30" s="134"/>
      <c r="F30" s="137"/>
      <c r="G30" s="12"/>
      <c r="H30" s="9"/>
      <c r="I30" s="218"/>
      <c r="J30" s="411"/>
    </row>
    <row r="31" spans="1:10" ht="19.5" customHeight="1">
      <c r="C31" s="13"/>
      <c r="D31" s="14"/>
      <c r="E31" s="234" t="s">
        <v>46</v>
      </c>
      <c r="F31" s="117" t="s">
        <v>47</v>
      </c>
      <c r="G31" s="457"/>
    </row>
    <row r="32" spans="1:10" ht="19.5" hidden="1" customHeight="1">
      <c r="C32" s="13"/>
      <c r="D32" s="14"/>
      <c r="E32" s="235" t="s">
        <v>48</v>
      </c>
      <c r="F32" s="1003"/>
      <c r="G32" s="457"/>
    </row>
    <row r="33" spans="1:10" ht="19.5" customHeight="1">
      <c r="C33" s="13"/>
      <c r="D33" s="14"/>
      <c r="E33" s="234" t="s">
        <v>49</v>
      </c>
      <c r="F33" s="117" t="s">
        <v>50</v>
      </c>
      <c r="G33" s="457"/>
    </row>
    <row r="34" spans="1:10" ht="19.5" customHeight="1">
      <c r="C34" s="13"/>
      <c r="D34" s="14"/>
      <c r="E34" s="234" t="s">
        <v>51</v>
      </c>
      <c r="F34" s="117" t="s">
        <v>52</v>
      </c>
      <c r="G34" s="457"/>
      <c r="H34" s="15"/>
    </row>
    <row r="35" spans="1:10" s="133" customFormat="1" ht="11.25" customHeight="1">
      <c r="A35" s="462"/>
      <c r="B35" s="129"/>
      <c r="C35" s="130"/>
      <c r="D35" s="136"/>
      <c r="E35" s="134"/>
      <c r="F35" s="137"/>
      <c r="G35" s="12"/>
      <c r="H35" s="9"/>
      <c r="I35" s="218"/>
      <c r="J35" s="411"/>
    </row>
    <row r="36" spans="1:10" ht="19.5" hidden="1" customHeight="1">
      <c r="A36" s="522"/>
      <c r="D36" s="14"/>
      <c r="E36" s="234" t="s">
        <v>53</v>
      </c>
      <c r="F36" s="208"/>
      <c r="G36" s="12"/>
    </row>
    <row r="37" spans="1:10" ht="19.5" customHeight="1">
      <c r="A37" s="522"/>
      <c r="D37" s="14"/>
      <c r="E37" s="234" t="s">
        <v>54</v>
      </c>
      <c r="F37" s="208" t="s">
        <v>55</v>
      </c>
      <c r="G37" s="12"/>
    </row>
    <row r="38" spans="1:10" s="133" customFormat="1" ht="6" customHeight="1">
      <c r="A38" s="462"/>
      <c r="B38" s="129"/>
      <c r="C38" s="130"/>
      <c r="D38" s="131"/>
      <c r="E38" s="132"/>
      <c r="F38" s="634"/>
      <c r="G38" s="8"/>
      <c r="H38" s="9"/>
      <c r="I38" s="218"/>
      <c r="J38" s="60"/>
    </row>
    <row r="39" spans="1:10" ht="22.5" customHeight="1">
      <c r="A39" s="462"/>
      <c r="D39" s="10"/>
      <c r="E39" s="234" t="s">
        <v>56</v>
      </c>
      <c r="F39" s="415" t="s">
        <v>57</v>
      </c>
      <c r="G39" s="8"/>
      <c r="H39" s="454" t="s">
        <v>19</v>
      </c>
    </row>
    <row r="40" spans="1:10" s="133" customFormat="1" ht="6" hidden="1" customHeight="1">
      <c r="A40" s="461"/>
      <c r="B40" s="129"/>
      <c r="C40" s="130"/>
      <c r="D40" s="131"/>
      <c r="E40" s="132"/>
      <c r="F40" s="634"/>
      <c r="G40" s="8"/>
      <c r="H40" s="9"/>
      <c r="I40" s="218"/>
      <c r="J40" s="60"/>
    </row>
    <row r="41" spans="1:10" s="9" customFormat="1" ht="19.5" hidden="1" customHeight="1">
      <c r="A41" s="464" t="s">
        <v>23</v>
      </c>
      <c r="B41" s="29"/>
      <c r="C41" s="7"/>
      <c r="D41" s="10"/>
      <c r="E41" s="23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15" t="s">
        <v>57</v>
      </c>
      <c r="G41" s="8"/>
      <c r="I41" s="218"/>
      <c r="J41" s="60"/>
    </row>
    <row r="42" spans="1:10" s="133" customFormat="1" ht="6" hidden="1" customHeight="1">
      <c r="A42" s="461"/>
      <c r="B42" s="129"/>
      <c r="C42" s="130"/>
      <c r="D42" s="131"/>
      <c r="E42" s="132"/>
      <c r="F42" s="634"/>
      <c r="G42" s="8"/>
      <c r="H42" s="9"/>
      <c r="I42" s="218"/>
      <c r="J42" s="411"/>
    </row>
    <row r="43" spans="1:10" s="9" customFormat="1" ht="22.5" hidden="1" customHeight="1">
      <c r="A43" s="461"/>
      <c r="B43" s="29"/>
      <c r="C43" s="7"/>
      <c r="D43" s="10"/>
      <c r="E43" s="234" t="s">
        <v>58</v>
      </c>
      <c r="F43" s="415" t="s">
        <v>59</v>
      </c>
      <c r="G43" s="8"/>
      <c r="I43" s="218"/>
      <c r="J43" s="60"/>
    </row>
    <row r="44" spans="1:10" s="9" customFormat="1" ht="22.5" hidden="1" customHeight="1">
      <c r="A44" s="461"/>
      <c r="B44" s="29"/>
      <c r="C44" s="7"/>
      <c r="D44" s="10"/>
      <c r="E44" s="234" t="s">
        <v>60</v>
      </c>
      <c r="F44" s="441"/>
      <c r="G44" s="8"/>
      <c r="I44" s="218"/>
      <c r="J44" s="60"/>
    </row>
    <row r="45" spans="1:10" s="133" customFormat="1" ht="6" hidden="1" customHeight="1">
      <c r="A45" s="461"/>
      <c r="B45" s="129"/>
      <c r="C45" s="130"/>
      <c r="D45" s="131"/>
      <c r="E45" s="132"/>
      <c r="F45" s="634"/>
      <c r="G45" s="8"/>
      <c r="H45" s="9"/>
      <c r="I45" s="218"/>
      <c r="J45" s="60"/>
    </row>
    <row r="46" spans="1:10" s="133" customFormat="1" ht="22.5" hidden="1" customHeight="1">
      <c r="A46" s="461"/>
      <c r="B46" s="129"/>
      <c r="C46" s="130"/>
      <c r="D46" s="131"/>
      <c r="E46" s="234" t="s">
        <v>61</v>
      </c>
      <c r="F46" s="415" t="s">
        <v>57</v>
      </c>
      <c r="G46" s="8"/>
      <c r="H46" s="9"/>
      <c r="I46" s="218"/>
      <c r="J46" s="60"/>
    </row>
    <row r="47" spans="1:10" s="9" customFormat="1" ht="22.5" hidden="1" customHeight="1">
      <c r="A47" s="461"/>
      <c r="B47" s="29"/>
      <c r="C47" s="7"/>
      <c r="D47" s="10"/>
      <c r="E47" s="234" t="s">
        <v>62</v>
      </c>
      <c r="F47" s="415" t="s">
        <v>57</v>
      </c>
      <c r="G47" s="8"/>
      <c r="I47" s="218"/>
      <c r="J47" s="60"/>
    </row>
    <row r="48" spans="1:10" s="133" customFormat="1" ht="6" hidden="1" customHeight="1">
      <c r="A48" s="461"/>
      <c r="B48" s="129"/>
      <c r="C48" s="130"/>
      <c r="D48" s="131"/>
      <c r="E48" s="132"/>
      <c r="F48" s="634"/>
      <c r="G48" s="8"/>
      <c r="H48" s="9"/>
      <c r="I48" s="218"/>
      <c r="J48" s="60"/>
    </row>
    <row r="49" spans="1:16" ht="19.5" hidden="1" customHeight="1">
      <c r="D49" s="10"/>
      <c r="E49" s="23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15"/>
      <c r="G49" s="8"/>
    </row>
    <row r="50" spans="1:16" s="133" customFormat="1" ht="6" hidden="1" customHeight="1">
      <c r="A50" s="462"/>
      <c r="B50" s="129"/>
      <c r="C50" s="130"/>
      <c r="D50" s="136"/>
      <c r="E50" s="134"/>
      <c r="F50" s="137"/>
      <c r="G50" s="12"/>
      <c r="H50" s="9"/>
      <c r="I50" s="218"/>
      <c r="J50" s="60"/>
    </row>
    <row r="51" spans="1:16" s="9" customFormat="1" ht="22.5" hidden="1" customHeight="1">
      <c r="A51" s="463"/>
      <c r="B51" s="29"/>
      <c r="C51" s="7"/>
      <c r="D51" s="218"/>
      <c r="E51" s="234" t="s">
        <v>63</v>
      </c>
      <c r="F51" s="415" t="s">
        <v>57</v>
      </c>
      <c r="G51" s="56"/>
      <c r="I51" s="312"/>
      <c r="J51" s="60"/>
      <c r="P51" s="313"/>
    </row>
    <row r="52" spans="1:16" s="133" customFormat="1" ht="6" hidden="1" customHeight="1">
      <c r="A52" s="462"/>
      <c r="B52" s="129"/>
      <c r="C52" s="130"/>
      <c r="D52" s="136"/>
      <c r="E52" s="134"/>
      <c r="F52" s="137"/>
      <c r="G52" s="12"/>
      <c r="H52" s="9"/>
      <c r="I52" s="218"/>
      <c r="J52" s="411"/>
    </row>
    <row r="53" spans="1:16" s="9" customFormat="1" ht="22.5" hidden="1" customHeight="1">
      <c r="A53" s="463"/>
      <c r="B53" s="29"/>
      <c r="C53" s="7"/>
      <c r="D53" s="218"/>
      <c r="E53" s="234" t="s">
        <v>64</v>
      </c>
      <c r="F53" s="633" t="s">
        <v>57</v>
      </c>
      <c r="G53" s="56"/>
      <c r="I53" s="312"/>
      <c r="J53" s="60"/>
      <c r="P53" s="313"/>
    </row>
    <row r="54" spans="1:16" s="9" customFormat="1" ht="22.5" hidden="1" customHeight="1">
      <c r="A54" s="463"/>
      <c r="B54" s="29"/>
      <c r="C54" s="7"/>
      <c r="D54" s="218"/>
      <c r="E54" s="234" t="s">
        <v>65</v>
      </c>
      <c r="F54" s="1007"/>
      <c r="G54" s="56"/>
      <c r="I54" s="312"/>
      <c r="J54" s="60"/>
      <c r="P54" s="313"/>
    </row>
    <row r="55" spans="1:16" s="133" customFormat="1" ht="6" hidden="1" customHeight="1">
      <c r="A55" s="462"/>
      <c r="B55" s="129"/>
      <c r="C55" s="130"/>
      <c r="D55" s="136"/>
      <c r="E55" s="134"/>
      <c r="F55" s="137"/>
      <c r="G55" s="12"/>
      <c r="H55" s="9"/>
      <c r="I55" s="218"/>
      <c r="J55" s="411"/>
    </row>
    <row r="56" spans="1:16" s="9" customFormat="1" ht="22.5" hidden="1" customHeight="1">
      <c r="A56" s="463"/>
      <c r="B56" s="29"/>
      <c r="C56" s="7"/>
      <c r="D56" s="218"/>
      <c r="E56" s="234" t="s">
        <v>66</v>
      </c>
      <c r="F56" s="633" t="s">
        <v>57</v>
      </c>
      <c r="G56" s="56"/>
      <c r="I56" s="312"/>
      <c r="J56" s="60"/>
      <c r="P56" s="313"/>
    </row>
    <row r="57" spans="1:16" s="133" customFormat="1" ht="6" hidden="1" customHeight="1">
      <c r="A57" s="462"/>
      <c r="B57" s="129"/>
      <c r="C57" s="130"/>
      <c r="D57" s="136"/>
      <c r="E57" s="134"/>
      <c r="F57" s="137"/>
      <c r="G57" s="12"/>
      <c r="H57" s="9"/>
      <c r="I57" s="218"/>
      <c r="J57" s="411"/>
    </row>
    <row r="58" spans="1:16" s="9" customFormat="1" ht="15" hidden="1" customHeight="1">
      <c r="A58" s="463"/>
      <c r="B58" s="29"/>
      <c r="C58" s="7"/>
      <c r="D58" s="218"/>
      <c r="E58" s="234" t="s">
        <v>67</v>
      </c>
      <c r="F58" s="633" t="s">
        <v>59</v>
      </c>
      <c r="G58" s="56"/>
      <c r="I58" s="312"/>
      <c r="J58" s="60"/>
      <c r="P58" s="313"/>
    </row>
    <row r="59" spans="1:16" s="9" customFormat="1" ht="15" hidden="1" customHeight="1">
      <c r="A59" s="463"/>
      <c r="B59" s="29"/>
      <c r="C59" s="7"/>
      <c r="D59" s="218"/>
      <c r="E59" s="23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33"/>
      <c r="G59" s="56"/>
      <c r="I59" s="312"/>
      <c r="J59" s="60"/>
      <c r="P59" s="313"/>
    </row>
    <row r="60" spans="1:16" s="9" customFormat="1" ht="15" hidden="1" customHeight="1">
      <c r="A60" s="463"/>
      <c r="B60" s="29"/>
      <c r="C60" s="7"/>
      <c r="D60" s="218"/>
      <c r="E60" s="234" t="s">
        <v>68</v>
      </c>
      <c r="F60" s="208"/>
      <c r="G60" s="56"/>
      <c r="I60" s="312"/>
      <c r="J60" s="60"/>
      <c r="P60" s="313"/>
    </row>
    <row r="61" spans="1:16" s="133" customFormat="1" ht="6" hidden="1" customHeight="1">
      <c r="A61" s="462"/>
      <c r="B61" s="129"/>
      <c r="C61" s="130"/>
      <c r="D61" s="131"/>
      <c r="E61" s="132"/>
      <c r="F61" s="634"/>
      <c r="G61" s="8"/>
      <c r="H61" s="9"/>
      <c r="I61" s="218"/>
      <c r="J61" s="60"/>
    </row>
    <row r="62" spans="1:16" s="9" customFormat="1" ht="33.75" hidden="1" customHeight="1">
      <c r="A62" s="462"/>
      <c r="B62" s="29"/>
      <c r="C62" s="7"/>
      <c r="D62" s="10"/>
      <c r="E62" s="234" t="s">
        <v>69</v>
      </c>
      <c r="F62" s="415" t="s">
        <v>59</v>
      </c>
      <c r="G62" s="8"/>
      <c r="H62" s="454" t="s">
        <v>19</v>
      </c>
      <c r="I62" s="218"/>
      <c r="J62" s="60"/>
    </row>
    <row r="63" spans="1:16" s="133" customFormat="1" ht="6" customHeight="1">
      <c r="A63" s="462"/>
      <c r="B63" s="129"/>
      <c r="C63" s="130"/>
      <c r="D63" s="136"/>
      <c r="E63" s="134"/>
      <c r="F63" s="137"/>
      <c r="G63" s="12"/>
      <c r="H63" s="9"/>
      <c r="I63" s="218"/>
      <c r="J63" s="411"/>
    </row>
    <row r="64" spans="1:16" ht="19.5" customHeight="1">
      <c r="B64" s="30"/>
      <c r="D64" s="17"/>
      <c r="E64" s="234" t="s">
        <v>70</v>
      </c>
      <c r="F64" s="116" t="s">
        <v>71</v>
      </c>
      <c r="G64" s="12"/>
    </row>
    <row r="65" spans="2:9" ht="19.5" customHeight="1">
      <c r="B65" s="30"/>
      <c r="D65" s="17"/>
      <c r="E65" s="234" t="s">
        <v>72</v>
      </c>
      <c r="F65" s="116" t="s">
        <v>73</v>
      </c>
      <c r="G65" s="12"/>
    </row>
    <row r="66" spans="2:9" ht="35.25" customHeight="1">
      <c r="D66" s="10"/>
      <c r="E66" s="236" t="s">
        <v>74</v>
      </c>
      <c r="F66" s="77"/>
      <c r="G66" s="8"/>
    </row>
    <row r="67" spans="2:9" ht="19.5" customHeight="1">
      <c r="D67" s="10"/>
      <c r="E67" s="234" t="s">
        <v>75</v>
      </c>
      <c r="F67" s="116" t="s">
        <v>76</v>
      </c>
      <c r="G67" s="12"/>
    </row>
    <row r="68" spans="2:9" ht="19.5" customHeight="1">
      <c r="B68" s="30"/>
      <c r="D68" s="17"/>
      <c r="E68" s="234" t="s">
        <v>77</v>
      </c>
      <c r="F68" s="116" t="s">
        <v>78</v>
      </c>
      <c r="G68" s="12"/>
    </row>
    <row r="69" spans="2:9" ht="19.5" customHeight="1">
      <c r="B69" s="30"/>
      <c r="D69" s="17"/>
      <c r="E69" s="234" t="s">
        <v>79</v>
      </c>
      <c r="F69" s="116" t="s">
        <v>80</v>
      </c>
      <c r="G69" s="12"/>
    </row>
    <row r="70" spans="2:9" ht="19.5" customHeight="1">
      <c r="D70" s="10"/>
      <c r="E70" s="234" t="s">
        <v>81</v>
      </c>
      <c r="F70" s="1043" t="s">
        <v>82</v>
      </c>
      <c r="G70" s="8"/>
    </row>
    <row r="71" spans="2:9" ht="20.25" customHeight="1">
      <c r="D71" s="8"/>
      <c r="F71" s="52"/>
      <c r="G71" s="12"/>
    </row>
    <row r="72" spans="2:9" ht="19.5" customHeight="1">
      <c r="B72" s="30"/>
      <c r="D72" s="17"/>
      <c r="E72" s="16"/>
      <c r="F72" s="53"/>
      <c r="G72" s="12"/>
    </row>
    <row r="73" spans="2:9" ht="19.5" customHeight="1">
      <c r="B73" s="30"/>
      <c r="D73" s="17"/>
      <c r="E73" s="16"/>
      <c r="F73" s="53"/>
      <c r="G73" s="12"/>
    </row>
    <row r="74" spans="2:9" ht="19.5" customHeight="1">
      <c r="B74" s="30"/>
      <c r="D74" s="17"/>
      <c r="E74" s="19"/>
      <c r="F74" s="53"/>
      <c r="G74" s="12"/>
    </row>
    <row r="75" spans="2:9" ht="19.5" customHeight="1">
      <c r="B75" s="30"/>
      <c r="D75" s="17"/>
      <c r="E75" s="16"/>
      <c r="F75" s="53"/>
      <c r="G75" s="12"/>
    </row>
    <row r="78" spans="2:9" ht="11.25" customHeight="1">
      <c r="E78" s="233"/>
      <c r="F78" s="233"/>
      <c r="G78" s="233"/>
      <c r="H78" s="233"/>
      <c r="I78" s="23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xr:uid="{00000000-0002-0000-0100-00000A000000}">
      <formula1>900</formula1>
    </dataValidation>
  </dataValidations>
  <hyperlinks>
    <hyperlink ref="H11" location="Титульный!H9" tooltip="Помощь по работе с полями отчётной формы" display="Как заполнить?" xr:uid="{5CA3FF04-D546-5CE4-2BD3-ACE794A070B4}"/>
    <hyperlink ref="H17" location="Титульный!H9" tooltip="Помощь по работе с полями отчётной формы" display="Как заполнить?" xr:uid="{AE298C47-DA78-D6AC-B465-7E82680F5B96}"/>
    <hyperlink ref="H39" location="Титульный!H9" tooltip="Помощь по работе с полями отчётной формы" display="Как заполнить?" xr:uid="{2EAFB8CB-697A-F733-0AC3-82BE60433B93}"/>
    <hyperlink ref="H62" location="Титульный!H9" tooltip="Помощь по работе с полями отчётной формы" display="Как заполнить?" xr:uid="{32D3C7E1-6C3E-C2E1-96C2-1272D4840368}"/>
    <hyperlink ref="F70" r:id="rId1" xr:uid="{C7E70F76-41E4-3784-1247-B0B103A60A63}"/>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6ECC-C6CC-007E-69DA-D7E0059803D5}">
  <sheetPr>
    <tabColor rgb="FFCCCCFF"/>
    <pageSetUpPr fitToPage="1"/>
  </sheetPr>
  <dimension ref="A1:AB34"/>
  <sheetViews>
    <sheetView showGridLines="0" topLeftCell="C2" zoomScale="90" workbookViewId="0">
      <selection activeCell="G27" sqref="G27"/>
    </sheetView>
  </sheetViews>
  <sheetFormatPr defaultColWidth="9.140625" defaultRowHeight="14.25" customHeight="1"/>
  <cols>
    <col min="1" max="1" width="8" style="9" hidden="1" customWidth="1"/>
    <col min="2" max="2" width="6" style="60" hidden="1" customWidth="1"/>
    <col min="3" max="3" width="3.7109375" style="9" customWidth="1"/>
    <col min="4" max="4" width="3.7109375" style="74" customWidth="1"/>
    <col min="5" max="5" width="6.28515625" style="9" customWidth="1"/>
    <col min="6" max="6" width="2.7109375" style="9" hidden="1" customWidth="1"/>
    <col min="7" max="7" width="46.7109375" style="9" customWidth="1"/>
    <col min="8" max="8" width="43.140625" style="9" customWidth="1"/>
    <col min="9" max="9" width="14.85546875" style="9" customWidth="1"/>
    <col min="10" max="10" width="3.7109375" style="66" customWidth="1"/>
    <col min="11" max="13" width="9.140625" style="66" hidden="1"/>
    <col min="14" max="14" width="25.7109375" style="66" hidden="1" customWidth="1"/>
    <col min="15" max="15" width="14.42578125" style="66" hidden="1" customWidth="1"/>
    <col min="16" max="19" width="9.140625" style="123" hidden="1"/>
    <col min="20" max="27" width="9.140625" style="9" hidden="1"/>
    <col min="28" max="28" width="9.140625" style="9"/>
  </cols>
  <sheetData>
    <row r="1" spans="1:28" s="65" customFormat="1" ht="5.25" hidden="1" customHeight="1">
      <c r="A1" s="209"/>
      <c r="D1" s="119"/>
      <c r="G1" s="142" t="s">
        <v>83</v>
      </c>
      <c r="H1" s="119" t="s">
        <v>84</v>
      </c>
      <c r="I1" s="124" t="s">
        <v>85</v>
      </c>
      <c r="J1" s="142" t="s">
        <v>83</v>
      </c>
      <c r="K1" s="142"/>
      <c r="L1" s="142"/>
      <c r="M1" s="142"/>
      <c r="N1" s="142"/>
      <c r="O1" s="142"/>
      <c r="P1" s="142"/>
      <c r="Q1" s="142"/>
      <c r="R1" s="142"/>
      <c r="S1" s="142"/>
      <c r="T1" s="124"/>
      <c r="U1" s="124"/>
      <c r="V1" s="124"/>
      <c r="W1" s="124"/>
      <c r="X1" s="124"/>
      <c r="Y1" s="124"/>
      <c r="Z1" s="124"/>
      <c r="AA1" s="124"/>
      <c r="AB1" s="124"/>
    </row>
    <row r="2" spans="1:28" s="128" customFormat="1" ht="11.25" customHeight="1">
      <c r="A2" s="77"/>
      <c r="B2" s="125"/>
      <c r="C2" s="125"/>
      <c r="D2" s="126"/>
      <c r="E2" s="125"/>
      <c r="F2" s="125"/>
      <c r="G2" s="125"/>
      <c r="H2" s="125"/>
      <c r="I2" s="125"/>
      <c r="J2" s="142"/>
      <c r="K2" s="142"/>
      <c r="L2" s="142"/>
      <c r="M2" s="142"/>
      <c r="N2" s="142"/>
      <c r="O2" s="142"/>
      <c r="P2" s="127"/>
      <c r="Q2" s="127"/>
      <c r="R2" s="127"/>
      <c r="S2" s="127"/>
      <c r="T2" s="126"/>
      <c r="U2" s="126"/>
      <c r="V2" s="126"/>
      <c r="W2" s="126"/>
      <c r="X2" s="126"/>
      <c r="Y2" s="126"/>
      <c r="Z2" s="126"/>
      <c r="AA2" s="126"/>
      <c r="AB2" s="126"/>
    </row>
    <row r="3" spans="1:28" s="43" customFormat="1" ht="3" customHeight="1">
      <c r="A3" s="9"/>
      <c r="B3" s="60"/>
      <c r="C3" s="9"/>
      <c r="D3" s="74"/>
      <c r="E3" s="9"/>
      <c r="F3" s="9"/>
      <c r="G3" s="9"/>
      <c r="H3" s="9"/>
      <c r="I3" s="75"/>
      <c r="J3" s="142"/>
      <c r="K3" s="66"/>
      <c r="L3" s="66"/>
      <c r="M3" s="66"/>
      <c r="N3" s="66"/>
      <c r="O3" s="66"/>
      <c r="P3" s="123"/>
      <c r="Q3" s="123"/>
      <c r="R3" s="123"/>
      <c r="S3" s="123"/>
    </row>
    <row r="4" spans="1:28" s="43" customFormat="1" ht="25.5" customHeight="1">
      <c r="A4" s="9"/>
      <c r="B4" s="60"/>
      <c r="C4" s="9"/>
      <c r="D4" s="74"/>
      <c r="E4" s="1067" t="str">
        <f>NameTemplatesInListMO</f>
        <v>Перечень муниципальных районов и муниципальных образований (территорий действия тарифа)</v>
      </c>
      <c r="F4" s="1067"/>
      <c r="G4" s="1067"/>
      <c r="H4" s="1067"/>
      <c r="I4" s="1067"/>
      <c r="J4" s="142"/>
      <c r="K4" s="66"/>
      <c r="L4" s="66"/>
      <c r="M4" s="66"/>
      <c r="N4" s="66"/>
      <c r="O4" s="66"/>
      <c r="P4" s="123"/>
      <c r="Q4" s="123"/>
      <c r="R4" s="123"/>
      <c r="S4" s="123"/>
    </row>
    <row r="5" spans="1:28" s="43" customFormat="1" ht="3" customHeight="1">
      <c r="A5" s="9"/>
      <c r="B5" s="60"/>
      <c r="C5" s="9"/>
      <c r="D5" s="74"/>
      <c r="E5" s="9"/>
      <c r="F5" s="9"/>
      <c r="G5" s="76"/>
      <c r="H5" s="76"/>
      <c r="I5" s="77"/>
      <c r="J5" s="66"/>
      <c r="K5" s="66"/>
      <c r="L5" s="66"/>
      <c r="M5" s="66"/>
      <c r="N5" s="66"/>
      <c r="O5" s="66"/>
      <c r="P5" s="123"/>
      <c r="Q5" s="123"/>
      <c r="R5" s="123"/>
      <c r="S5" s="123"/>
    </row>
    <row r="6" spans="1:28" s="43" customFormat="1" ht="20.25" hidden="1" customHeight="1">
      <c r="A6" s="2"/>
      <c r="B6" s="59"/>
      <c r="C6" s="2"/>
      <c r="D6" s="74"/>
      <c r="E6" s="53"/>
      <c r="F6" s="53"/>
      <c r="G6" s="76"/>
      <c r="H6" s="78"/>
      <c r="I6" s="78"/>
      <c r="J6" s="66"/>
      <c r="K6" s="66"/>
      <c r="L6" s="66"/>
      <c r="M6" s="66"/>
      <c r="N6" s="66"/>
      <c r="O6" s="66"/>
      <c r="P6" s="123"/>
      <c r="Q6" s="123"/>
      <c r="R6" s="123"/>
      <c r="S6" s="123"/>
    </row>
    <row r="7" spans="1:28" ht="25.5" hidden="1" customHeight="1"/>
    <row r="8" spans="1:28" s="43" customFormat="1" ht="14.25" customHeight="1">
      <c r="A8" s="9"/>
      <c r="B8" s="60"/>
      <c r="C8" s="9"/>
      <c r="D8" s="74"/>
      <c r="E8" s="1063" t="s">
        <v>86</v>
      </c>
      <c r="F8" s="1068"/>
      <c r="G8" s="1062"/>
      <c r="H8" s="1069" t="s">
        <v>87</v>
      </c>
      <c r="I8" s="1069"/>
      <c r="J8" s="66"/>
      <c r="K8" s="66"/>
      <c r="L8" s="66"/>
      <c r="M8" s="66"/>
      <c r="N8" s="66"/>
      <c r="O8" s="66"/>
      <c r="P8" s="123"/>
      <c r="Q8" s="123"/>
      <c r="R8" s="123"/>
      <c r="S8" s="123"/>
    </row>
    <row r="9" spans="1:28" s="43" customFormat="1" ht="20.25" customHeight="1">
      <c r="A9" s="9"/>
      <c r="B9" s="60"/>
      <c r="C9" s="9"/>
      <c r="D9" s="74"/>
      <c r="E9" s="458" t="s">
        <v>88</v>
      </c>
      <c r="F9" s="458"/>
      <c r="G9" s="80" t="s">
        <v>89</v>
      </c>
      <c r="H9" s="80" t="s">
        <v>89</v>
      </c>
      <c r="I9" s="80" t="s">
        <v>85</v>
      </c>
      <c r="J9" s="66"/>
      <c r="K9" s="66"/>
      <c r="L9" s="66"/>
      <c r="M9" s="66"/>
      <c r="N9" s="66"/>
      <c r="O9" s="66"/>
      <c r="P9" s="123"/>
      <c r="Q9" s="123"/>
      <c r="R9" s="123"/>
      <c r="S9" s="123"/>
    </row>
    <row r="10" spans="1:28" ht="11.25" customHeight="1">
      <c r="D10" s="84"/>
      <c r="E10" s="121" t="s">
        <v>90</v>
      </c>
      <c r="F10" s="121"/>
      <c r="G10" s="121" t="s">
        <v>91</v>
      </c>
      <c r="H10" s="121" t="s">
        <v>92</v>
      </c>
      <c r="I10" s="121" t="s">
        <v>93</v>
      </c>
      <c r="J10" s="79"/>
      <c r="K10" s="79"/>
      <c r="L10" s="79"/>
      <c r="M10" s="79"/>
      <c r="N10" s="79"/>
      <c r="O10" s="79"/>
      <c r="P10" s="122"/>
      <c r="Q10" s="122"/>
      <c r="R10" s="122"/>
      <c r="S10" s="122"/>
    </row>
    <row r="11" spans="1:28" s="43" customFormat="1" ht="0.75" customHeight="1">
      <c r="A11" s="9"/>
      <c r="B11" s="60"/>
      <c r="C11" s="9"/>
      <c r="D11" s="74"/>
      <c r="E11" s="465"/>
      <c r="F11" s="465"/>
      <c r="G11" s="81"/>
      <c r="H11" s="81"/>
      <c r="I11" s="83"/>
      <c r="J11" s="143" t="s">
        <v>94</v>
      </c>
      <c r="K11" s="66"/>
      <c r="L11" s="66"/>
      <c r="M11" s="66" t="s">
        <v>95</v>
      </c>
      <c r="N11" s="66" t="s">
        <v>96</v>
      </c>
      <c r="O11" s="66" t="s">
        <v>97</v>
      </c>
      <c r="P11" s="123"/>
      <c r="Q11" s="123"/>
      <c r="R11" s="123"/>
      <c r="S11" s="123"/>
    </row>
    <row r="12" spans="1:28" s="43" customFormat="1" ht="14.25" customHeight="1">
      <c r="A12" s="1066">
        <v>1</v>
      </c>
      <c r="B12" s="60"/>
      <c r="C12" s="9"/>
      <c r="D12" s="74"/>
      <c r="E12" s="39">
        <f>A12</f>
        <v>1</v>
      </c>
      <c r="F12" s="326" t="s">
        <v>98</v>
      </c>
      <c r="G12" s="316" t="str">
        <f>"Территория "&amp;E12</f>
        <v>Территория 1</v>
      </c>
      <c r="H12" s="467"/>
      <c r="I12" s="467"/>
      <c r="J12" s="66"/>
      <c r="K12" s="66"/>
      <c r="L12" s="66"/>
      <c r="M12" s="66"/>
      <c r="N12" s="66"/>
      <c r="O12" s="66"/>
      <c r="P12" s="123"/>
      <c r="Q12" s="123"/>
      <c r="R12" s="123"/>
      <c r="S12" s="123"/>
    </row>
    <row r="13" spans="1:28" ht="15" customHeight="1">
      <c r="A13" s="1066"/>
      <c r="B13" s="60">
        <v>1</v>
      </c>
      <c r="C13" s="60"/>
      <c r="D13" s="474"/>
      <c r="E13" s="459" t="str">
        <f>A12&amp;"."&amp;B13</f>
        <v>1.1</v>
      </c>
      <c r="F13" s="470" t="s">
        <v>99</v>
      </c>
      <c r="G13" s="468" t="s">
        <v>100</v>
      </c>
      <c r="H13" s="468" t="s">
        <v>100</v>
      </c>
      <c r="I13" s="466" t="s">
        <v>101</v>
      </c>
      <c r="J13" s="66" t="e">
        <f ca="1">MERGEVALUE(G13)</f>
        <v>#NAME?</v>
      </c>
      <c r="K13" s="65"/>
      <c r="L13" s="65"/>
      <c r="M13" s="66" t="str">
        <f t="array" ref="M13">IF(ISERROR(MATCH(MID(N13,1,250),MID(note_ter,1,250),0)),"n","y")</f>
        <v>n</v>
      </c>
      <c r="N13" s="65"/>
      <c r="O13" s="66" t="str">
        <f>H13&amp;"("&amp;I13&amp;")"</f>
        <v>Когалым(71883000)</v>
      </c>
      <c r="P13" s="60"/>
      <c r="Q13" s="60"/>
      <c r="R13" s="248"/>
      <c r="S13" s="60"/>
      <c r="T13" s="60"/>
      <c r="U13" s="60"/>
      <c r="V13" s="59"/>
      <c r="W13" s="59"/>
      <c r="X13" s="101"/>
      <c r="Y13" s="101"/>
      <c r="Z13" s="101"/>
      <c r="AA13" s="101"/>
      <c r="AB13" s="101"/>
    </row>
    <row r="14" spans="1:28" ht="15" customHeight="1">
      <c r="A14" s="1066"/>
      <c r="C14" s="247"/>
      <c r="D14" s="475"/>
      <c r="E14" s="249"/>
      <c r="F14" s="85"/>
      <c r="G14" s="107" t="s">
        <v>102</v>
      </c>
      <c r="H14" s="94"/>
      <c r="I14" s="250"/>
      <c r="J14" s="65"/>
      <c r="K14" s="65"/>
      <c r="L14" s="65"/>
      <c r="M14" s="65"/>
      <c r="O14" s="65"/>
      <c r="P14" s="60"/>
      <c r="Q14" s="60"/>
      <c r="R14" s="248"/>
      <c r="S14" s="60"/>
      <c r="T14" s="60"/>
      <c r="U14" s="60"/>
      <c r="V14" s="59"/>
      <c r="W14" s="59"/>
      <c r="X14" s="101"/>
      <c r="Y14" s="101"/>
      <c r="Z14" s="101"/>
      <c r="AA14" s="101"/>
      <c r="AB14" s="101"/>
    </row>
    <row r="15" spans="1:28" ht="15" customHeight="1">
      <c r="A15" s="1070" t="s">
        <v>103</v>
      </c>
      <c r="C15" s="475" t="s">
        <v>104</v>
      </c>
      <c r="E15" s="39" t="str">
        <f>A15</f>
        <v>2</v>
      </c>
      <c r="F15" s="477" t="s">
        <v>105</v>
      </c>
      <c r="G15" s="316" t="str">
        <f>"Территория "&amp;E15</f>
        <v>Территория 2</v>
      </c>
      <c r="H15" s="467"/>
      <c r="I15" s="467"/>
      <c r="T15" s="43"/>
      <c r="U15" s="43"/>
      <c r="V15" s="43"/>
      <c r="W15" s="43"/>
      <c r="X15" s="43"/>
      <c r="Y15" s="43"/>
      <c r="Z15" s="43"/>
      <c r="AA15" s="43"/>
      <c r="AB15" s="43"/>
    </row>
    <row r="16" spans="1:28" ht="15" customHeight="1">
      <c r="A16" s="1070"/>
      <c r="B16" s="60">
        <v>1</v>
      </c>
      <c r="C16" s="60"/>
      <c r="D16" s="474" t="s">
        <v>104</v>
      </c>
      <c r="E16" s="459" t="str">
        <f>A15&amp;"."&amp;B16</f>
        <v>2.1</v>
      </c>
      <c r="F16" s="476" t="s">
        <v>106</v>
      </c>
      <c r="G16" s="468" t="s">
        <v>107</v>
      </c>
      <c r="H16" s="468" t="s">
        <v>107</v>
      </c>
      <c r="I16" s="466" t="s">
        <v>108</v>
      </c>
      <c r="J16" s="66" t="e">
        <f ca="1">MERGEVALUE(G16)</f>
        <v>#NAME?</v>
      </c>
      <c r="K16" s="65"/>
      <c r="L16" s="65"/>
      <c r="M16" s="66" t="str">
        <f t="array" ref="M16">IF(ISERROR(MATCH(MID(N16,1,250),MID(note_ter,1,250),0)),"n","y")</f>
        <v>n</v>
      </c>
      <c r="N16" s="65"/>
      <c r="O16" s="66" t="str">
        <f>H16&amp;"("&amp;I16&amp;")"</f>
        <v>Лангепас(71872000)</v>
      </c>
      <c r="P16" s="60"/>
      <c r="Q16" s="60"/>
      <c r="R16" s="248"/>
      <c r="S16" s="60"/>
      <c r="T16" s="60"/>
      <c r="U16" s="60"/>
      <c r="V16" s="59"/>
      <c r="W16" s="59"/>
      <c r="X16" s="101"/>
      <c r="Y16" s="101"/>
      <c r="Z16" s="101"/>
      <c r="AA16" s="101"/>
      <c r="AB16" s="101"/>
    </row>
    <row r="17" spans="1:28" ht="15" customHeight="1">
      <c r="A17" s="1070"/>
      <c r="C17" s="247"/>
      <c r="D17" s="475"/>
      <c r="E17" s="249"/>
      <c r="F17" s="85"/>
      <c r="G17" s="107" t="s">
        <v>102</v>
      </c>
      <c r="H17" s="94"/>
      <c r="I17" s="250"/>
      <c r="J17" s="65"/>
      <c r="K17" s="65"/>
      <c r="L17" s="65"/>
      <c r="M17" s="65"/>
      <c r="O17" s="65"/>
      <c r="P17" s="60"/>
      <c r="Q17" s="60"/>
      <c r="R17" s="248"/>
      <c r="S17" s="60"/>
      <c r="T17" s="60"/>
      <c r="U17" s="60"/>
      <c r="V17" s="59"/>
      <c r="W17" s="59"/>
      <c r="X17" s="101"/>
      <c r="Y17" s="101"/>
      <c r="Z17" s="101"/>
      <c r="AA17" s="101"/>
      <c r="AB17" s="101"/>
    </row>
    <row r="18" spans="1:28" ht="15" customHeight="1">
      <c r="A18" s="1070" t="s">
        <v>90</v>
      </c>
      <c r="C18" s="475" t="s">
        <v>104</v>
      </c>
      <c r="E18" s="39" t="str">
        <f>A18</f>
        <v>3</v>
      </c>
      <c r="F18" s="477" t="s">
        <v>109</v>
      </c>
      <c r="G18" s="316" t="str">
        <f>"Территория "&amp;E18</f>
        <v>Территория 3</v>
      </c>
      <c r="H18" s="467"/>
      <c r="I18" s="467"/>
      <c r="T18" s="43"/>
      <c r="U18" s="43"/>
      <c r="V18" s="43"/>
      <c r="W18" s="43"/>
      <c r="X18" s="43"/>
      <c r="Y18" s="43"/>
      <c r="Z18" s="43"/>
      <c r="AA18" s="43"/>
      <c r="AB18" s="43"/>
    </row>
    <row r="19" spans="1:28" ht="15" customHeight="1">
      <c r="A19" s="1070"/>
      <c r="B19" s="60">
        <v>1</v>
      </c>
      <c r="C19" s="60"/>
      <c r="D19" s="474" t="s">
        <v>104</v>
      </c>
      <c r="E19" s="459" t="str">
        <f>A18&amp;"."&amp;B19</f>
        <v>3.1</v>
      </c>
      <c r="F19" s="476" t="s">
        <v>110</v>
      </c>
      <c r="G19" s="468" t="s">
        <v>111</v>
      </c>
      <c r="H19" s="468" t="s">
        <v>111</v>
      </c>
      <c r="I19" s="466" t="s">
        <v>112</v>
      </c>
      <c r="J19" s="66" t="e">
        <f ca="1">MERGEVALUE(G19)</f>
        <v>#NAME?</v>
      </c>
      <c r="K19" s="65"/>
      <c r="L19" s="65"/>
      <c r="M19" s="66" t="str">
        <f t="array" ref="M19">IF(ISERROR(MATCH(MID(N19,1,250),MID(note_ter,1,250),0)),"n","y")</f>
        <v>n</v>
      </c>
      <c r="N19" s="65"/>
      <c r="O19" s="66" t="str">
        <f>H19&amp;"("&amp;I19&amp;")"</f>
        <v>Покачи(71884000)</v>
      </c>
      <c r="P19" s="60"/>
      <c r="Q19" s="60"/>
      <c r="R19" s="248"/>
      <c r="S19" s="60"/>
      <c r="T19" s="60"/>
      <c r="U19" s="60"/>
      <c r="V19" s="59"/>
      <c r="W19" s="59"/>
      <c r="X19" s="101"/>
      <c r="Y19" s="101"/>
      <c r="Z19" s="101"/>
      <c r="AA19" s="101"/>
      <c r="AB19" s="101"/>
    </row>
    <row r="20" spans="1:28" ht="15" customHeight="1">
      <c r="A20" s="1070"/>
      <c r="C20" s="247"/>
      <c r="D20" s="475"/>
      <c r="E20" s="249"/>
      <c r="F20" s="85"/>
      <c r="G20" s="107" t="s">
        <v>102</v>
      </c>
      <c r="H20" s="94"/>
      <c r="I20" s="250"/>
      <c r="J20" s="65"/>
      <c r="K20" s="65"/>
      <c r="L20" s="65"/>
      <c r="M20" s="65"/>
      <c r="O20" s="65"/>
      <c r="P20" s="60"/>
      <c r="Q20" s="60"/>
      <c r="R20" s="248"/>
      <c r="S20" s="60"/>
      <c r="T20" s="60"/>
      <c r="U20" s="60"/>
      <c r="V20" s="59"/>
      <c r="W20" s="59"/>
      <c r="X20" s="101"/>
      <c r="Y20" s="101"/>
      <c r="Z20" s="101"/>
      <c r="AA20" s="101"/>
      <c r="AB20" s="101"/>
    </row>
    <row r="21" spans="1:28" s="43" customFormat="1" ht="14.25" customHeight="1">
      <c r="A21" s="9"/>
      <c r="B21" s="60"/>
      <c r="C21" s="9"/>
      <c r="D21" s="74"/>
      <c r="E21" s="469"/>
      <c r="F21" s="86"/>
      <c r="G21" s="50" t="s">
        <v>113</v>
      </c>
      <c r="H21" s="86"/>
      <c r="I21" s="87"/>
      <c r="J21" s="143"/>
      <c r="K21" s="66"/>
      <c r="L21" s="66"/>
      <c r="M21" s="66"/>
      <c r="N21" s="66" t="s">
        <v>114</v>
      </c>
      <c r="O21" s="66"/>
      <c r="P21" s="123"/>
      <c r="Q21" s="123"/>
      <c r="R21" s="123"/>
      <c r="S21" s="123"/>
    </row>
    <row r="22" spans="1:28" s="43" customFormat="1" ht="21" customHeight="1">
      <c r="A22" s="9"/>
      <c r="B22" s="60"/>
      <c r="C22" s="9"/>
      <c r="D22" s="74"/>
      <c r="E22" s="88"/>
      <c r="F22" s="88"/>
      <c r="G22" s="88"/>
      <c r="H22" s="88"/>
      <c r="I22" s="88"/>
      <c r="J22" s="66"/>
      <c r="K22" s="66"/>
      <c r="L22" s="66"/>
      <c r="M22" s="66"/>
      <c r="N22" s="66"/>
      <c r="O22" s="66"/>
      <c r="P22" s="123"/>
      <c r="Q22" s="123"/>
      <c r="R22" s="123"/>
      <c r="S22" s="123"/>
    </row>
    <row r="23" spans="1:28" s="43" customFormat="1" ht="14.25" customHeight="1">
      <c r="A23" s="9"/>
      <c r="B23" s="60"/>
      <c r="C23" s="9"/>
      <c r="D23" s="74"/>
      <c r="E23" s="9"/>
      <c r="F23" s="9"/>
      <c r="G23" s="9"/>
      <c r="H23" s="9"/>
      <c r="I23" s="9"/>
      <c r="J23" s="66"/>
      <c r="K23" s="66"/>
      <c r="L23" s="66"/>
      <c r="M23" s="66"/>
      <c r="N23" s="66"/>
      <c r="O23" s="66"/>
      <c r="P23" s="123"/>
      <c r="Q23" s="123"/>
      <c r="R23" s="123"/>
      <c r="S23" s="123"/>
    </row>
    <row r="24" spans="1:28" s="43" customFormat="1" ht="0.75" customHeight="1">
      <c r="A24" s="9"/>
      <c r="B24" s="60"/>
      <c r="C24" s="9"/>
      <c r="D24" s="74"/>
      <c r="E24" s="9"/>
      <c r="F24" s="9"/>
      <c r="G24" s="9"/>
      <c r="H24" s="9"/>
      <c r="I24" s="9"/>
      <c r="J24" s="66"/>
      <c r="K24" s="66"/>
      <c r="L24" s="66"/>
      <c r="M24" s="66"/>
      <c r="N24" s="66"/>
      <c r="O24" s="66"/>
      <c r="P24" s="123"/>
      <c r="Q24" s="123"/>
      <c r="R24" s="123"/>
      <c r="S24" s="123"/>
    </row>
    <row r="25" spans="1:28" s="89" customFormat="1" ht="10.5" customHeight="1">
      <c r="B25" s="488"/>
      <c r="D25" s="90"/>
      <c r="J25" s="66"/>
      <c r="K25" s="66"/>
      <c r="L25" s="66"/>
      <c r="M25" s="66"/>
      <c r="N25" s="66"/>
      <c r="O25" s="66"/>
      <c r="P25" s="123"/>
      <c r="Q25" s="123"/>
      <c r="R25" s="123"/>
      <c r="S25" s="123"/>
    </row>
    <row r="26" spans="1:28" s="89" customFormat="1" ht="10.5" customHeight="1">
      <c r="B26" s="488"/>
      <c r="D26" s="90"/>
      <c r="J26" s="66"/>
      <c r="K26" s="66"/>
      <c r="L26" s="66"/>
      <c r="M26" s="66"/>
      <c r="N26" s="66"/>
      <c r="O26" s="66"/>
      <c r="P26" s="123"/>
      <c r="Q26" s="123"/>
      <c r="R26" s="123"/>
      <c r="S26" s="123"/>
    </row>
    <row r="30" spans="1:28" ht="14.25" customHeight="1">
      <c r="H30"/>
    </row>
    <row r="34" spans="10:12" ht="14.25" customHeight="1">
      <c r="J34" s="9"/>
      <c r="K34" s="9"/>
      <c r="L34" s="9"/>
    </row>
  </sheetData>
  <sheetProtection formatColumns="0" formatRows="0" insertRows="0" deleteColumns="0" deleteRows="0" sort="0" autoFilter="0"/>
  <mergeCells count="6">
    <mergeCell ref="A18:A20"/>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18 G15"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32AED-41D9-8F52-34A8-C02989C4ABEA}">
  <sheetPr>
    <tabColor rgb="FFCCCCFF"/>
  </sheetPr>
  <dimension ref="A1:AL27"/>
  <sheetViews>
    <sheetView showGridLines="0" tabSelected="1" topLeftCell="C3" zoomScale="90" workbookViewId="0">
      <selection activeCell="I24" sqref="I24:I25"/>
    </sheetView>
  </sheetViews>
  <sheetFormatPr defaultColWidth="9.140625" defaultRowHeight="11.25" customHeight="1"/>
  <cols>
    <col min="1" max="1" width="6.42578125" style="33" hidden="1" customWidth="1"/>
    <col min="2" max="2" width="2" style="33" hidden="1" customWidth="1"/>
    <col min="3" max="3" width="3.7109375" style="33" customWidth="1"/>
    <col min="4" max="4" width="4.28515625" style="33" customWidth="1"/>
    <col min="5" max="5" width="45" style="33" customWidth="1"/>
    <col min="6" max="6" width="6.42578125" style="33" customWidth="1"/>
    <col min="7" max="7" width="4.42578125" style="33" customWidth="1"/>
    <col min="8" max="8" width="5.5703125" style="33" customWidth="1"/>
    <col min="9" max="9" width="52.85546875" style="33" customWidth="1"/>
    <col min="10" max="10" width="7" style="33" customWidth="1"/>
    <col min="11" max="11" width="3.7109375" style="33" customWidth="1"/>
    <col min="12" max="12" width="6.28515625" style="33" customWidth="1"/>
    <col min="13" max="13" width="56.28515625" style="33" customWidth="1"/>
    <col min="14" max="14" width="9.140625" style="79"/>
    <col min="15" max="20" width="9.140625" style="66" hidden="1"/>
    <col min="21" max="24" width="9.140625" style="15" hidden="1"/>
    <col min="25" max="37" width="9.140625" style="79" hidden="1"/>
    <col min="38" max="38" width="9.140625" style="79"/>
  </cols>
  <sheetData>
    <row r="1" spans="1:38" ht="11.25" hidden="1" customHeight="1"/>
    <row r="2" spans="1:38" ht="11.25" hidden="1" customHeight="1"/>
    <row r="4" spans="1:38" ht="34.5" customHeight="1">
      <c r="A4" s="15"/>
      <c r="B4" s="15"/>
      <c r="D4" s="107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076"/>
      <c r="F4" s="1076"/>
      <c r="G4" s="1076"/>
      <c r="H4" s="1076"/>
      <c r="I4" s="1077"/>
      <c r="J4" s="79"/>
      <c r="K4" s="79"/>
      <c r="L4" s="79"/>
      <c r="M4" s="79"/>
    </row>
    <row r="5" spans="1:38" s="40" customFormat="1" ht="15" customHeight="1">
      <c r="A5" s="15"/>
      <c r="B5" s="15"/>
      <c r="C5" s="15"/>
      <c r="D5" s="1078" t="str">
        <f>IF(org=0,"Не определено",org)</f>
        <v>ООО "Концессионная Коммунальная Компания"</v>
      </c>
      <c r="E5" s="1079"/>
      <c r="F5" s="1079"/>
      <c r="G5" s="1079"/>
      <c r="H5" s="1079"/>
      <c r="I5" s="1080"/>
      <c r="J5" s="352"/>
      <c r="K5" s="352"/>
      <c r="L5" s="352"/>
      <c r="M5" s="352"/>
      <c r="N5" s="352"/>
      <c r="O5" s="67"/>
      <c r="P5" s="67"/>
      <c r="Q5" s="67"/>
      <c r="R5" s="67"/>
      <c r="S5" s="67"/>
      <c r="T5" s="67"/>
      <c r="U5" s="755"/>
      <c r="V5" s="755"/>
      <c r="W5" s="755"/>
      <c r="X5" s="755"/>
      <c r="Y5" s="352"/>
      <c r="Z5" s="352"/>
      <c r="AA5" s="352"/>
      <c r="AB5" s="352"/>
      <c r="AC5" s="352"/>
      <c r="AD5" s="352"/>
      <c r="AE5" s="352"/>
      <c r="AF5" s="352"/>
      <c r="AG5" s="352"/>
      <c r="AH5" s="352"/>
      <c r="AI5" s="352"/>
      <c r="AJ5" s="352"/>
      <c r="AK5" s="352"/>
      <c r="AL5" s="352"/>
    </row>
    <row r="6" spans="1:38" s="40" customFormat="1" ht="6" customHeight="1">
      <c r="A6" s="1066"/>
      <c r="B6" s="1066"/>
      <c r="C6" s="1066"/>
      <c r="D6" s="1066"/>
      <c r="E6" s="1066"/>
      <c r="F6" s="1066"/>
      <c r="G6" s="9"/>
      <c r="H6" s="9"/>
      <c r="I6" s="9"/>
      <c r="J6" s="9"/>
      <c r="K6" s="9"/>
      <c r="N6" s="352"/>
      <c r="O6" s="67"/>
      <c r="P6" s="67"/>
      <c r="Q6" s="67"/>
      <c r="R6" s="67"/>
      <c r="S6" s="67"/>
      <c r="T6" s="67"/>
      <c r="U6" s="755"/>
      <c r="V6" s="755"/>
      <c r="W6" s="755"/>
      <c r="X6" s="755"/>
      <c r="Y6" s="352"/>
      <c r="Z6" s="352"/>
      <c r="AA6" s="352"/>
      <c r="AB6" s="352"/>
      <c r="AC6" s="352"/>
      <c r="AD6" s="352"/>
      <c r="AE6" s="352"/>
      <c r="AF6" s="352"/>
      <c r="AG6" s="352"/>
      <c r="AH6" s="352"/>
      <c r="AI6" s="352"/>
      <c r="AJ6" s="352"/>
      <c r="AK6" s="352"/>
      <c r="AL6" s="352"/>
    </row>
    <row r="7" spans="1:38" ht="45.75" hidden="1" customHeight="1">
      <c r="E7" s="108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086"/>
      <c r="G7" s="1086"/>
      <c r="H7" s="1086"/>
      <c r="I7" s="1086"/>
      <c r="J7" s="1086"/>
      <c r="K7" s="1086"/>
      <c r="L7" s="1086"/>
      <c r="M7" s="1086"/>
    </row>
    <row r="8" spans="1:38" s="40" customFormat="1" ht="6" customHeight="1">
      <c r="A8" s="113"/>
      <c r="B8" s="113"/>
      <c r="C8" s="113"/>
      <c r="D8" s="113"/>
      <c r="E8" s="113"/>
      <c r="F8" s="113"/>
      <c r="G8" s="113"/>
      <c r="H8" s="113"/>
      <c r="I8" s="113"/>
      <c r="J8" s="113"/>
      <c r="K8" s="113"/>
      <c r="L8" s="113"/>
      <c r="N8" s="352"/>
      <c r="O8" s="67"/>
      <c r="P8" s="67"/>
      <c r="Q8" s="67"/>
      <c r="R8" s="67"/>
      <c r="S8" s="67"/>
      <c r="T8" s="67"/>
      <c r="U8" s="755"/>
      <c r="V8" s="755"/>
      <c r="W8" s="755"/>
      <c r="X8" s="755"/>
      <c r="Y8" s="352"/>
      <c r="Z8" s="352"/>
      <c r="AA8" s="352"/>
      <c r="AB8" s="352"/>
      <c r="AC8" s="352"/>
      <c r="AD8" s="352"/>
      <c r="AE8" s="352"/>
      <c r="AF8" s="352"/>
      <c r="AG8" s="352"/>
      <c r="AH8" s="352"/>
      <c r="AI8" s="352"/>
      <c r="AJ8" s="352"/>
      <c r="AK8" s="352"/>
      <c r="AL8" s="352"/>
    </row>
    <row r="9" spans="1:38" ht="18" customHeight="1">
      <c r="A9" s="1081"/>
      <c r="B9" s="9"/>
      <c r="C9" s="9"/>
      <c r="D9" s="1082" t="s">
        <v>115</v>
      </c>
      <c r="E9" s="1082"/>
      <c r="F9" s="1083" t="s">
        <v>116</v>
      </c>
      <c r="G9" s="1084"/>
      <c r="H9" s="1084"/>
      <c r="I9" s="1084"/>
      <c r="J9" s="1087" t="s">
        <v>117</v>
      </c>
      <c r="K9" s="1087"/>
      <c r="L9" s="1087"/>
      <c r="M9" s="1087"/>
    </row>
    <row r="10" spans="1:38" ht="22.5" customHeight="1">
      <c r="A10" s="1081"/>
      <c r="B10" s="56"/>
      <c r="C10" s="309"/>
      <c r="D10" s="39" t="s">
        <v>88</v>
      </c>
      <c r="E10" s="39" t="s">
        <v>89</v>
      </c>
      <c r="F10" s="39" t="s">
        <v>118</v>
      </c>
      <c r="G10" s="1088" t="s">
        <v>88</v>
      </c>
      <c r="H10" s="1089"/>
      <c r="I10" s="39" t="s">
        <v>89</v>
      </c>
      <c r="J10" s="39" t="s">
        <v>118</v>
      </c>
      <c r="K10" s="1088" t="s">
        <v>88</v>
      </c>
      <c r="L10" s="1089"/>
      <c r="M10" s="39" t="s">
        <v>89</v>
      </c>
      <c r="N10" s="479"/>
    </row>
    <row r="11" spans="1:38" s="33" customFormat="1" ht="11.25" hidden="1" customHeight="1">
      <c r="A11" s="353"/>
      <c r="B11" s="353"/>
      <c r="C11" s="353"/>
      <c r="D11" s="354" t="s">
        <v>119</v>
      </c>
      <c r="E11" s="354" t="s">
        <v>103</v>
      </c>
      <c r="F11" s="354" t="s">
        <v>90</v>
      </c>
      <c r="G11" s="1071" t="s">
        <v>91</v>
      </c>
      <c r="H11" s="1072"/>
      <c r="I11" s="354" t="s">
        <v>120</v>
      </c>
      <c r="J11" s="354" t="s">
        <v>92</v>
      </c>
      <c r="K11" s="1073" t="s">
        <v>93</v>
      </c>
      <c r="L11" s="1074"/>
      <c r="M11" s="354" t="s">
        <v>121</v>
      </c>
      <c r="N11" s="479"/>
      <c r="O11" s="66"/>
      <c r="P11" s="66"/>
      <c r="Q11" s="66"/>
      <c r="R11" s="66"/>
      <c r="S11" s="66"/>
      <c r="T11" s="66"/>
      <c r="U11" s="15"/>
      <c r="V11" s="15"/>
      <c r="W11" s="15"/>
      <c r="X11" s="15"/>
      <c r="Y11" s="79"/>
      <c r="Z11" s="79"/>
      <c r="AA11" s="79"/>
      <c r="AB11" s="79"/>
      <c r="AC11" s="79"/>
      <c r="AD11" s="79"/>
      <c r="AE11" s="79"/>
      <c r="AF11" s="79"/>
      <c r="AG11" s="79"/>
      <c r="AH11" s="79"/>
      <c r="AI11" s="79"/>
      <c r="AJ11" s="79"/>
      <c r="AK11" s="79"/>
      <c r="AL11" s="79"/>
    </row>
    <row r="12" spans="1:38" ht="0.75" customHeight="1">
      <c r="A12" s="355"/>
      <c r="B12" s="56"/>
      <c r="C12" s="56"/>
      <c r="D12" s="356"/>
      <c r="E12" s="221"/>
      <c r="F12" s="221"/>
      <c r="G12" s="637"/>
      <c r="H12" s="637"/>
      <c r="I12" s="221"/>
      <c r="J12" s="221"/>
      <c r="K12" s="82"/>
      <c r="L12" s="221"/>
      <c r="M12" s="357"/>
      <c r="N12" s="479"/>
      <c r="O12" s="66" t="s">
        <v>122</v>
      </c>
      <c r="P12" s="66" t="s">
        <v>123</v>
      </c>
      <c r="Q12" s="66" t="s">
        <v>124</v>
      </c>
      <c r="R12" s="66" t="s">
        <v>125</v>
      </c>
    </row>
    <row r="13" spans="1:38" s="33" customFormat="1" ht="15" customHeight="1">
      <c r="A13"/>
      <c r="B13"/>
      <c r="C13" s="74"/>
      <c r="D13" s="1093" t="s">
        <v>119</v>
      </c>
      <c r="E13" s="1095" t="str">
        <f>INDEX(VD_NAME_LIST,MATCH("4189671",VD_ID_LIST,0))</f>
        <v>Холодное водоснабжение. Питьевая вода</v>
      </c>
      <c r="F13" s="1098" t="s">
        <v>59</v>
      </c>
      <c r="G13" s="1099"/>
      <c r="H13" s="1100">
        <v>1</v>
      </c>
      <c r="I13" s="1090" t="str">
        <f>IF(U13="","",INDEX(TERRITORY_MR_LIST,MATCH(U13,TERRITORY_LIST_ID,0)))</f>
        <v>Территория 1</v>
      </c>
      <c r="J13" s="1092" t="s">
        <v>57</v>
      </c>
      <c r="K13" s="358"/>
      <c r="L13" s="41" t="s">
        <v>119</v>
      </c>
      <c r="M13" s="359" t="s">
        <v>18</v>
      </c>
      <c r="N13" s="479"/>
      <c r="O13" s="66" t="s">
        <v>126</v>
      </c>
      <c r="P13" s="66" t="str">
        <f>$E$13</f>
        <v>Холодное водоснабжение. Питьевая вода</v>
      </c>
      <c r="Q13" s="66" t="str">
        <f>IF($F$13="нет","без дифференциации",$I$13)</f>
        <v>Территория 1</v>
      </c>
      <c r="R13" s="66" t="str">
        <f>IF($J$13="нет","без дифференциации",M13)</f>
        <v>без дифференциации</v>
      </c>
      <c r="S13" s="66"/>
      <c r="T13" s="66"/>
      <c r="U13" s="15" t="s">
        <v>98</v>
      </c>
      <c r="V13" s="15" t="s">
        <v>127</v>
      </c>
      <c r="W13" s="15"/>
      <c r="X13" s="15"/>
      <c r="Y13" s="79" t="s">
        <v>128</v>
      </c>
      <c r="Z13" s="79">
        <v>1705000</v>
      </c>
      <c r="AA13" s="79"/>
      <c r="AB13" s="79"/>
      <c r="AC13" s="79"/>
      <c r="AD13" s="79"/>
      <c r="AE13" s="79"/>
      <c r="AF13" s="79"/>
      <c r="AG13" s="79"/>
      <c r="AH13" s="79"/>
      <c r="AI13" s="79"/>
      <c r="AJ13" s="79"/>
      <c r="AK13" s="79"/>
      <c r="AL13" s="79"/>
    </row>
    <row r="14" spans="1:38" s="33" customFormat="1" ht="15" customHeight="1">
      <c r="A14"/>
      <c r="B14"/>
      <c r="C14" s="84"/>
      <c r="D14" s="1093"/>
      <c r="E14" s="1096"/>
      <c r="F14" s="1092"/>
      <c r="G14" s="1099"/>
      <c r="H14" s="1100"/>
      <c r="I14" s="1091"/>
      <c r="J14" s="1092"/>
      <c r="K14" s="249"/>
      <c r="L14" s="85"/>
      <c r="M14" s="361" t="s">
        <v>129</v>
      </c>
      <c r="N14" s="479"/>
      <c r="O14" s="66"/>
      <c r="P14" s="66"/>
      <c r="Q14" s="66"/>
      <c r="R14" s="66"/>
      <c r="S14" s="66"/>
      <c r="T14" s="66"/>
      <c r="U14" s="15"/>
      <c r="V14" s="15"/>
      <c r="W14" s="15"/>
      <c r="X14" s="15"/>
      <c r="Y14" s="79"/>
      <c r="Z14" s="79"/>
      <c r="AA14" s="79"/>
      <c r="AB14" s="79"/>
      <c r="AC14" s="79"/>
      <c r="AD14" s="79"/>
      <c r="AE14" s="79"/>
      <c r="AF14" s="79"/>
      <c r="AG14" s="79"/>
      <c r="AH14" s="79"/>
      <c r="AI14" s="79"/>
      <c r="AJ14" s="79"/>
      <c r="AK14" s="79"/>
      <c r="AL14" s="79"/>
    </row>
    <row r="15" spans="1:38" ht="15" customHeight="1">
      <c r="A15"/>
      <c r="B15"/>
      <c r="C15" s="84"/>
      <c r="D15" s="1094"/>
      <c r="E15" s="1094"/>
      <c r="F15" s="1094"/>
      <c r="G15" s="1108" t="s">
        <v>104</v>
      </c>
      <c r="H15" s="1062" t="s">
        <v>103</v>
      </c>
      <c r="I15" s="1109" t="str">
        <f>IF(U15="","",INDEX(TERRITORY_MR_LIST,MATCH(U15,TERRITORY_LIST_ID,0)))</f>
        <v>Территория 2</v>
      </c>
      <c r="J15" s="1092" t="s">
        <v>57</v>
      </c>
      <c r="K15" s="487"/>
      <c r="L15" s="41" t="s">
        <v>119</v>
      </c>
      <c r="M15" s="359"/>
      <c r="O15" s="79" t="s">
        <v>130</v>
      </c>
      <c r="P15" s="79" t="str">
        <f>$E$13</f>
        <v>Холодное водоснабжение. Питьевая вода</v>
      </c>
      <c r="Q15" s="79" t="str">
        <f>IF($F$15="нет","без дифференциации",$I$15)</f>
        <v>Территория 2</v>
      </c>
      <c r="R15" s="79" t="str">
        <f>IF($J$15="нет","без дифференциации",$M$15)</f>
        <v>без дифференциации</v>
      </c>
      <c r="S15" s="79"/>
      <c r="T15" s="79"/>
      <c r="U15" s="360" t="s">
        <v>105</v>
      </c>
      <c r="V15" s="79"/>
      <c r="W15" s="79"/>
      <c r="X15" s="79"/>
      <c r="Y15" s="79" t="s">
        <v>128</v>
      </c>
      <c r="Z15" s="79">
        <v>1705000</v>
      </c>
    </row>
    <row r="16" spans="1:38" ht="15" customHeight="1">
      <c r="A16"/>
      <c r="B16"/>
      <c r="C16" s="84"/>
      <c r="D16" s="1094"/>
      <c r="E16" s="1094"/>
      <c r="F16" s="1094"/>
      <c r="G16" s="1108"/>
      <c r="H16" s="1062"/>
      <c r="I16" s="1109"/>
      <c r="J16" s="1092"/>
      <c r="K16" s="249"/>
      <c r="L16" s="85"/>
      <c r="M16" s="361" t="s">
        <v>129</v>
      </c>
      <c r="O16" s="79"/>
      <c r="P16" s="79"/>
      <c r="Q16" s="79"/>
      <c r="R16" s="79"/>
      <c r="S16" s="79"/>
      <c r="T16" s="79"/>
      <c r="U16" s="360"/>
      <c r="V16" s="79"/>
      <c r="W16" s="79"/>
      <c r="X16" s="79"/>
    </row>
    <row r="17" spans="1:38" ht="15" customHeight="1">
      <c r="A17"/>
      <c r="B17"/>
      <c r="C17" s="84"/>
      <c r="D17" s="1094"/>
      <c r="E17" s="1094"/>
      <c r="F17" s="1094"/>
      <c r="G17" s="1108" t="s">
        <v>104</v>
      </c>
      <c r="H17" s="1062" t="s">
        <v>90</v>
      </c>
      <c r="I17" s="1109" t="str">
        <f>IF(U17="","",INDEX(TERRITORY_MR_LIST,MATCH(U17,TERRITORY_LIST_ID,0)))</f>
        <v>Территория 3</v>
      </c>
      <c r="J17" s="1092" t="s">
        <v>57</v>
      </c>
      <c r="K17" s="487"/>
      <c r="L17" s="41" t="s">
        <v>119</v>
      </c>
      <c r="M17" s="359"/>
      <c r="O17" s="79" t="s">
        <v>131</v>
      </c>
      <c r="P17" s="79" t="str">
        <f>$E$13</f>
        <v>Холодное водоснабжение. Питьевая вода</v>
      </c>
      <c r="Q17" s="79" t="str">
        <f>IF($F$17="нет","без дифференциации",$I$17)</f>
        <v>Территория 3</v>
      </c>
      <c r="R17" s="79" t="str">
        <f>IF($J$17="нет","без дифференциации",$M$17)</f>
        <v>без дифференциации</v>
      </c>
      <c r="S17" s="79"/>
      <c r="T17" s="79"/>
      <c r="U17" s="360" t="s">
        <v>109</v>
      </c>
      <c r="V17" s="79"/>
      <c r="W17" s="79"/>
      <c r="X17" s="79"/>
      <c r="Y17" s="79" t="s">
        <v>128</v>
      </c>
      <c r="Z17" s="79">
        <v>1705000</v>
      </c>
    </row>
    <row r="18" spans="1:38" ht="15" customHeight="1">
      <c r="A18"/>
      <c r="B18"/>
      <c r="C18" s="84"/>
      <c r="D18" s="1094"/>
      <c r="E18" s="1094"/>
      <c r="F18" s="1094"/>
      <c r="G18" s="1108"/>
      <c r="H18" s="1062"/>
      <c r="I18" s="1109"/>
      <c r="J18" s="1092"/>
      <c r="K18" s="249"/>
      <c r="L18" s="85"/>
      <c r="M18" s="361" t="s">
        <v>129</v>
      </c>
      <c r="O18" s="79"/>
      <c r="P18" s="79"/>
      <c r="Q18" s="79"/>
      <c r="R18" s="79"/>
      <c r="S18" s="79"/>
      <c r="T18" s="79"/>
      <c r="U18" s="360"/>
      <c r="V18" s="79"/>
      <c r="W18" s="79"/>
      <c r="X18" s="79"/>
    </row>
    <row r="19" spans="1:38" s="33" customFormat="1" ht="15" customHeight="1">
      <c r="A19"/>
      <c r="B19"/>
      <c r="C19" s="84"/>
      <c r="D19" s="1093"/>
      <c r="E19" s="1097"/>
      <c r="F19" s="1092"/>
      <c r="G19" s="638"/>
      <c r="H19" s="639"/>
      <c r="I19" s="107" t="s">
        <v>132</v>
      </c>
      <c r="J19" s="85"/>
      <c r="K19" s="85"/>
      <c r="L19" s="85"/>
      <c r="M19" s="362"/>
      <c r="N19" s="479"/>
      <c r="O19" s="66"/>
      <c r="P19" s="66"/>
      <c r="Q19" s="66"/>
      <c r="R19" s="66"/>
      <c r="S19" s="66"/>
      <c r="T19" s="66"/>
      <c r="U19" s="15"/>
      <c r="V19" s="15"/>
      <c r="W19" s="15"/>
      <c r="X19" s="15"/>
      <c r="Y19" s="79"/>
      <c r="Z19" s="79"/>
      <c r="AA19" s="79"/>
      <c r="AB19" s="79"/>
      <c r="AC19" s="79"/>
      <c r="AD19" s="79"/>
      <c r="AE19" s="79"/>
      <c r="AF19" s="79"/>
      <c r="AG19" s="79"/>
      <c r="AH19" s="79"/>
      <c r="AI19" s="79"/>
      <c r="AJ19" s="79"/>
      <c r="AK19" s="79"/>
      <c r="AL19" s="79"/>
    </row>
    <row r="20" spans="1:38" ht="15" customHeight="1">
      <c r="A20"/>
      <c r="B20"/>
      <c r="C20" s="1106" t="s">
        <v>104</v>
      </c>
      <c r="D20" s="1093" t="s">
        <v>103</v>
      </c>
      <c r="E20" s="1101" t="str">
        <f>INDEX(VD_NAME_LIST,MATCH("4189672",VD_ID_LIST,0))</f>
        <v>Холодное водоснабжение. Техническая вода</v>
      </c>
      <c r="F20" s="1092" t="s">
        <v>59</v>
      </c>
      <c r="G20" s="1102"/>
      <c r="H20" s="1082">
        <v>1</v>
      </c>
      <c r="I20" s="1104" t="str">
        <f>IF($U$20="","",INDEX(TERRITORY_MR_LIST,MATCH($U$20,TERRITORY_LIST_ID,0)))</f>
        <v>Территория 1</v>
      </c>
      <c r="J20" s="1092" t="s">
        <v>57</v>
      </c>
      <c r="K20" s="487"/>
      <c r="L20" s="41" t="s">
        <v>119</v>
      </c>
      <c r="M20" s="359"/>
      <c r="O20" s="79" t="s">
        <v>133</v>
      </c>
      <c r="P20" s="79" t="str">
        <f>$E$20</f>
        <v>Холодное водоснабжение. Техническая вода</v>
      </c>
      <c r="Q20" s="79" t="str">
        <f>IF($F$20="нет","без дифференциации",$I$20)</f>
        <v>Территория 1</v>
      </c>
      <c r="R20" s="79" t="str">
        <f>IF($J$20="нет","без дифференциации",$M$20)</f>
        <v>без дифференциации</v>
      </c>
      <c r="S20" s="79"/>
      <c r="T20" s="79"/>
      <c r="U20" s="360" t="s">
        <v>98</v>
      </c>
      <c r="V20" s="79" t="s">
        <v>134</v>
      </c>
      <c r="W20" s="79"/>
      <c r="X20" s="79"/>
      <c r="Y20" s="79" t="s">
        <v>128</v>
      </c>
      <c r="Z20" s="79">
        <v>1705000</v>
      </c>
    </row>
    <row r="21" spans="1:38" ht="15" customHeight="1">
      <c r="A21"/>
      <c r="B21"/>
      <c r="C21" s="1107"/>
      <c r="D21" s="1093"/>
      <c r="E21" s="1101"/>
      <c r="F21" s="1092"/>
      <c r="G21" s="1103"/>
      <c r="H21" s="1082"/>
      <c r="I21" s="1105" t="str">
        <f>IF($U$20="","",INDEX(TERRITORY_MR_LIST,MATCH($U$20,TERRITORY_LIST_ID,0)))</f>
        <v>Территория 1</v>
      </c>
      <c r="J21" s="1092"/>
      <c r="K21" s="249"/>
      <c r="L21" s="85"/>
      <c r="M21" s="361" t="s">
        <v>129</v>
      </c>
      <c r="O21" s="79"/>
      <c r="P21" s="79"/>
      <c r="Q21" s="79"/>
      <c r="R21" s="79"/>
      <c r="S21" s="79"/>
      <c r="T21" s="79"/>
      <c r="U21" s="360"/>
      <c r="V21" s="79"/>
      <c r="W21" s="79"/>
      <c r="X21" s="79"/>
    </row>
    <row r="22" spans="1:38" ht="15" customHeight="1">
      <c r="A22"/>
      <c r="B22"/>
      <c r="C22" s="1107"/>
      <c r="D22" s="1094"/>
      <c r="E22" s="1094"/>
      <c r="F22" s="1094"/>
      <c r="G22" s="1108" t="s">
        <v>104</v>
      </c>
      <c r="H22" s="1062" t="s">
        <v>103</v>
      </c>
      <c r="I22" s="1109" t="str">
        <f>IF(U22="","",INDEX(TERRITORY_MR_LIST,MATCH(U22,TERRITORY_LIST_ID,0)))</f>
        <v>Территория 2</v>
      </c>
      <c r="J22" s="1092" t="s">
        <v>57</v>
      </c>
      <c r="K22" s="487"/>
      <c r="L22" s="41" t="s">
        <v>119</v>
      </c>
      <c r="M22" s="359"/>
      <c r="O22" s="79" t="s">
        <v>135</v>
      </c>
      <c r="P22" s="79" t="str">
        <f>$E$20</f>
        <v>Холодное водоснабжение. Техническая вода</v>
      </c>
      <c r="Q22" s="79" t="str">
        <f>IF($F$22="нет","без дифференциации",$I$22)</f>
        <v>Территория 2</v>
      </c>
      <c r="R22" s="79" t="str">
        <f>IF($J$22="нет","без дифференциации",$M$22)</f>
        <v>без дифференциации</v>
      </c>
      <c r="S22" s="79"/>
      <c r="T22" s="79"/>
      <c r="U22" s="360" t="s">
        <v>105</v>
      </c>
      <c r="V22" s="79"/>
      <c r="W22" s="79"/>
      <c r="X22" s="79"/>
      <c r="Y22" s="79" t="s">
        <v>128</v>
      </c>
      <c r="Z22" s="79">
        <v>1705000</v>
      </c>
    </row>
    <row r="23" spans="1:38" ht="15" customHeight="1">
      <c r="A23"/>
      <c r="B23"/>
      <c r="C23" s="1107"/>
      <c r="D23" s="1094"/>
      <c r="E23" s="1094"/>
      <c r="F23" s="1094"/>
      <c r="G23" s="1108"/>
      <c r="H23" s="1062"/>
      <c r="I23" s="1109"/>
      <c r="J23" s="1092"/>
      <c r="K23" s="249"/>
      <c r="L23" s="85"/>
      <c r="M23" s="361" t="s">
        <v>129</v>
      </c>
      <c r="O23" s="79"/>
      <c r="P23" s="79"/>
      <c r="Q23" s="79"/>
      <c r="R23" s="79"/>
      <c r="S23" s="79"/>
      <c r="T23" s="79"/>
      <c r="U23" s="360"/>
      <c r="V23" s="79"/>
      <c r="W23" s="79"/>
      <c r="X23" s="79"/>
    </row>
    <row r="24" spans="1:38" ht="15" customHeight="1">
      <c r="A24"/>
      <c r="B24"/>
      <c r="C24" s="1107"/>
      <c r="D24" s="1094"/>
      <c r="E24" s="1094"/>
      <c r="F24" s="1094"/>
      <c r="G24" s="1108" t="s">
        <v>104</v>
      </c>
      <c r="H24" s="1062" t="s">
        <v>90</v>
      </c>
      <c r="I24" s="1109" t="str">
        <f>IF(U24="","",INDEX(TERRITORY_MR_LIST,MATCH(U24,TERRITORY_LIST_ID,0)))</f>
        <v>Территория 3</v>
      </c>
      <c r="J24" s="1092" t="s">
        <v>57</v>
      </c>
      <c r="K24" s="487"/>
      <c r="L24" s="41" t="s">
        <v>119</v>
      </c>
      <c r="M24" s="359"/>
      <c r="O24" s="79" t="s">
        <v>136</v>
      </c>
      <c r="P24" s="79" t="str">
        <f>$E$20</f>
        <v>Холодное водоснабжение. Техническая вода</v>
      </c>
      <c r="Q24" s="79" t="str">
        <f>IF($F$24="нет","без дифференциации",$I$24)</f>
        <v>Территория 3</v>
      </c>
      <c r="R24" s="79" t="str">
        <f>IF($J$24="нет","без дифференциации",$M$24)</f>
        <v>без дифференциации</v>
      </c>
      <c r="S24" s="79"/>
      <c r="T24" s="79"/>
      <c r="U24" s="360" t="s">
        <v>109</v>
      </c>
      <c r="V24" s="79"/>
      <c r="W24" s="79"/>
      <c r="X24" s="79"/>
      <c r="Y24" s="79" t="s">
        <v>128</v>
      </c>
      <c r="Z24" s="79">
        <v>1705000</v>
      </c>
    </row>
    <row r="25" spans="1:38" ht="15" customHeight="1">
      <c r="A25"/>
      <c r="B25"/>
      <c r="C25" s="1107"/>
      <c r="D25" s="1094"/>
      <c r="E25" s="1094"/>
      <c r="F25" s="1094"/>
      <c r="G25" s="1108"/>
      <c r="H25" s="1062"/>
      <c r="I25" s="1109"/>
      <c r="J25" s="1092"/>
      <c r="K25" s="249"/>
      <c r="L25" s="85"/>
      <c r="M25" s="361" t="s">
        <v>129</v>
      </c>
      <c r="O25" s="79"/>
      <c r="P25" s="79"/>
      <c r="Q25" s="79"/>
      <c r="R25" s="79"/>
      <c r="S25" s="79"/>
      <c r="T25" s="79"/>
      <c r="U25" s="360"/>
      <c r="V25" s="79"/>
      <c r="W25" s="79"/>
      <c r="X25" s="79"/>
    </row>
    <row r="26" spans="1:38" ht="15" customHeight="1">
      <c r="A26"/>
      <c r="B26"/>
      <c r="C26" s="1107"/>
      <c r="D26" s="1093"/>
      <c r="E26" s="1101"/>
      <c r="F26" s="1092"/>
      <c r="G26" s="249"/>
      <c r="H26" s="85"/>
      <c r="I26" s="107" t="s">
        <v>132</v>
      </c>
      <c r="J26" s="85"/>
      <c r="K26" s="85"/>
      <c r="L26" s="85"/>
      <c r="M26" s="362"/>
      <c r="O26" s="79"/>
      <c r="P26" s="79"/>
      <c r="Q26" s="79"/>
      <c r="R26" s="79"/>
      <c r="S26" s="79"/>
      <c r="T26" s="79"/>
      <c r="U26" s="360"/>
      <c r="V26" s="79"/>
      <c r="W26" s="79"/>
      <c r="X26" s="79"/>
    </row>
    <row r="27" spans="1:38" ht="15" customHeight="1">
      <c r="A27" s="363"/>
      <c r="B27" s="32"/>
      <c r="C27" s="53"/>
      <c r="D27" s="249"/>
      <c r="E27" s="108" t="s">
        <v>137</v>
      </c>
      <c r="F27" s="85"/>
      <c r="G27" s="85"/>
      <c r="H27" s="85"/>
      <c r="I27" s="85"/>
      <c r="J27" s="85"/>
      <c r="K27" s="85" t="s">
        <v>18</v>
      </c>
      <c r="L27" s="85"/>
      <c r="M27" s="362"/>
      <c r="N27" s="479"/>
    </row>
  </sheetData>
  <sheetProtection formatColumns="0" formatRows="0" insertRows="0" deleteColumns="0" deleteRows="0" sort="0" autoFilter="0"/>
  <mergeCells count="43">
    <mergeCell ref="I24:I25"/>
    <mergeCell ref="J24:J25"/>
    <mergeCell ref="I20:I21"/>
    <mergeCell ref="J20:J21"/>
    <mergeCell ref="C20:C26"/>
    <mergeCell ref="G15:G16"/>
    <mergeCell ref="H15:H16"/>
    <mergeCell ref="I15:I16"/>
    <mergeCell ref="J15:J16"/>
    <mergeCell ref="G17:G18"/>
    <mergeCell ref="H17:H18"/>
    <mergeCell ref="I17:I18"/>
    <mergeCell ref="J17:J18"/>
    <mergeCell ref="G22:G23"/>
    <mergeCell ref="H22:H23"/>
    <mergeCell ref="I22:I23"/>
    <mergeCell ref="J22:J23"/>
    <mergeCell ref="G24:G25"/>
    <mergeCell ref="D20:D26"/>
    <mergeCell ref="E20:E26"/>
    <mergeCell ref="F20:F26"/>
    <mergeCell ref="G20:G21"/>
    <mergeCell ref="H20:H21"/>
    <mergeCell ref="H24:H25"/>
    <mergeCell ref="I13:I14"/>
    <mergeCell ref="J13:J14"/>
    <mergeCell ref="D13:D19"/>
    <mergeCell ref="E13:E19"/>
    <mergeCell ref="F13:F19"/>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M24 M22 M17 M15 M20"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0958A-26F2-A311-3143-0BCAD30C2FA5}">
  <sheetPr>
    <tabColor rgb="FFCCCCFF"/>
  </sheetPr>
  <dimension ref="A1:AR120"/>
  <sheetViews>
    <sheetView showGridLines="0" topLeftCell="C4" zoomScale="90" workbookViewId="0"/>
  </sheetViews>
  <sheetFormatPr defaultColWidth="9.140625" defaultRowHeight="11.25" customHeight="1"/>
  <cols>
    <col min="1" max="2" width="3.7109375" style="66" hidden="1" customWidth="1"/>
    <col min="3" max="3" width="3.7109375" style="33" customWidth="1"/>
    <col min="4" max="4" width="6.140625" style="33" customWidth="1"/>
    <col min="5" max="5" width="43.140625" style="33" customWidth="1"/>
    <col min="6" max="6" width="15" style="33" customWidth="1"/>
    <col min="7" max="7" width="43.140625" style="33" customWidth="1"/>
    <col min="8" max="8" width="3.7109375" style="33" customWidth="1"/>
    <col min="9" max="9" width="5.42578125" style="33" customWidth="1"/>
    <col min="10" max="10" width="47.85546875" style="33" customWidth="1"/>
    <col min="11" max="12" width="3.7109375" style="33" customWidth="1"/>
    <col min="13" max="13" width="5.7109375" style="33" customWidth="1"/>
    <col min="14" max="14" width="28.140625" style="33" customWidth="1"/>
    <col min="15" max="16" width="3.7109375" style="33" customWidth="1"/>
    <col min="17" max="17" width="5.7109375" style="33" customWidth="1"/>
    <col min="18" max="18" width="34.42578125" style="33" customWidth="1"/>
    <col min="19" max="20" width="3.7109375" style="33" hidden="1" customWidth="1"/>
    <col min="21" max="21" width="5.7109375" style="33" hidden="1" customWidth="1"/>
    <col min="22" max="22" width="34.42578125" style="33" hidden="1" customWidth="1"/>
    <col min="23" max="23" width="30.7109375" style="33" customWidth="1"/>
    <col min="24" max="24" width="3.7109375" style="33" customWidth="1"/>
    <col min="25" max="28" width="9.85546875" style="15" hidden="1" customWidth="1"/>
    <col min="29" max="29" width="27" style="15" hidden="1" customWidth="1"/>
    <col min="30" max="30" width="10.5703125" style="15" hidden="1" customWidth="1"/>
    <col min="31" max="31" width="10.7109375" style="15" hidden="1" customWidth="1"/>
    <col min="32" max="32" width="10" style="15" hidden="1" customWidth="1"/>
    <col min="33" max="33" width="12.85546875" style="15" hidden="1" customWidth="1"/>
    <col min="34" max="34" width="10.28515625" style="15" hidden="1" customWidth="1"/>
    <col min="35" max="35" width="15.85546875" style="15" hidden="1" customWidth="1"/>
    <col min="36" max="36" width="19.42578125" style="15" hidden="1" customWidth="1"/>
    <col min="37" max="37" width="11" style="15" hidden="1" customWidth="1"/>
    <col min="38" max="38" width="23.5703125" style="15" hidden="1" customWidth="1"/>
    <col min="39" max="39" width="23.85546875" style="15" hidden="1" customWidth="1"/>
    <col min="40" max="40" width="25.28515625" style="15" hidden="1" customWidth="1"/>
    <col min="41" max="41" width="16.85546875" style="15" hidden="1" customWidth="1"/>
    <col min="42" max="42" width="29.5703125" style="15" hidden="1" customWidth="1"/>
    <col min="43" max="43" width="29.85546875" style="15" hidden="1" customWidth="1"/>
    <col min="44" max="44" width="9.140625" style="33" hidden="1"/>
  </cols>
  <sheetData>
    <row r="1" spans="1:43" ht="11.25" hidden="1" customHeight="1"/>
    <row r="2" spans="1:43" ht="11.25" hidden="1" customHeight="1"/>
    <row r="3" spans="1:43" ht="11.25" hidden="1" customHeight="1"/>
    <row r="4" spans="1:43" ht="3" customHeight="1"/>
    <row r="5" spans="1:43" s="40" customFormat="1" ht="39" customHeight="1">
      <c r="A5" s="67"/>
      <c r="B5" s="67"/>
      <c r="D5" s="10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076"/>
      <c r="F5" s="1076"/>
      <c r="G5" s="1076"/>
      <c r="H5" s="1076"/>
      <c r="I5" s="1076"/>
      <c r="J5" s="1077"/>
      <c r="K5" s="153"/>
      <c r="L5" s="57"/>
      <c r="M5" s="57"/>
      <c r="N5" s="57"/>
      <c r="O5" s="57"/>
      <c r="P5" s="57"/>
      <c r="Q5" s="57"/>
      <c r="R5" s="57"/>
      <c r="S5" s="57"/>
      <c r="T5" s="57"/>
      <c r="U5" s="57"/>
      <c r="V5" s="57"/>
      <c r="W5" s="57"/>
      <c r="Y5" s="755"/>
      <c r="Z5" s="755"/>
      <c r="AA5" s="755"/>
      <c r="AB5" s="755"/>
      <c r="AC5" s="755"/>
      <c r="AD5" s="755"/>
      <c r="AE5" s="755"/>
      <c r="AF5" s="755"/>
      <c r="AG5" s="755"/>
      <c r="AH5" s="755"/>
      <c r="AI5" s="755"/>
      <c r="AJ5" s="755"/>
      <c r="AK5" s="755"/>
      <c r="AL5" s="755"/>
      <c r="AM5" s="755"/>
      <c r="AN5" s="755"/>
      <c r="AO5" s="755"/>
      <c r="AP5" s="755"/>
      <c r="AQ5" s="755"/>
    </row>
    <row r="6" spans="1:43" s="40" customFormat="1" ht="15" customHeight="1">
      <c r="A6" s="15"/>
      <c r="B6" s="15"/>
      <c r="C6" s="15"/>
      <c r="D6" s="1142" t="str">
        <f>IF(org=0,"Не определено",org)</f>
        <v>ООО "Концессионная Коммунальная Компания"</v>
      </c>
      <c r="E6" s="1142"/>
      <c r="F6" s="1142"/>
      <c r="G6" s="1142"/>
      <c r="H6" s="1142"/>
      <c r="I6" s="1142"/>
      <c r="J6" s="1142"/>
      <c r="K6" s="352"/>
      <c r="L6" s="352"/>
      <c r="M6" s="352"/>
      <c r="N6" s="352"/>
      <c r="O6" s="67"/>
      <c r="P6" s="67"/>
      <c r="Q6" s="67"/>
      <c r="R6" s="67"/>
      <c r="S6" s="67"/>
      <c r="T6" s="67"/>
      <c r="U6" s="67"/>
      <c r="V6" s="67"/>
      <c r="W6" s="67"/>
      <c r="X6" s="352"/>
      <c r="Y6" s="755"/>
      <c r="Z6" s="755"/>
      <c r="AA6" s="755"/>
      <c r="AB6" s="755"/>
      <c r="AC6" s="755"/>
      <c r="AD6" s="755"/>
      <c r="AE6" s="755"/>
      <c r="AF6" s="755"/>
      <c r="AG6" s="755"/>
      <c r="AH6" s="755"/>
      <c r="AI6" s="755"/>
      <c r="AJ6" s="755"/>
      <c r="AK6" s="755"/>
      <c r="AL6" s="755"/>
      <c r="AM6" s="755"/>
      <c r="AN6" s="755"/>
      <c r="AO6" s="755"/>
      <c r="AP6" s="755"/>
      <c r="AQ6" s="755"/>
    </row>
    <row r="7" spans="1:43" s="159" customFormat="1" ht="11.25" customHeight="1">
      <c r="A7" s="66"/>
      <c r="B7" s="66"/>
      <c r="D7" s="1139"/>
      <c r="E7" s="1140"/>
      <c r="F7" s="1140"/>
      <c r="G7" s="1140"/>
      <c r="H7" s="1140"/>
      <c r="I7" s="1140"/>
      <c r="J7" s="1141"/>
      <c r="Y7" s="15"/>
      <c r="Z7" s="15"/>
      <c r="AA7" s="15"/>
      <c r="AB7" s="15"/>
      <c r="AC7" s="15"/>
      <c r="AD7" s="15"/>
      <c r="AE7" s="15"/>
      <c r="AF7" s="15"/>
      <c r="AG7" s="15"/>
      <c r="AH7" s="15"/>
      <c r="AI7" s="15"/>
      <c r="AJ7" s="15"/>
      <c r="AK7" s="15"/>
      <c r="AL7" s="15"/>
      <c r="AM7" s="15"/>
      <c r="AN7" s="15"/>
      <c r="AO7" s="15"/>
      <c r="AP7" s="15"/>
      <c r="AQ7" s="15"/>
    </row>
    <row r="8" spans="1:43" s="40" customFormat="1" ht="0.75" customHeight="1">
      <c r="A8" s="67"/>
      <c r="B8" s="67"/>
      <c r="D8" s="113"/>
      <c r="E8" s="113"/>
      <c r="F8" s="113"/>
      <c r="G8" s="113"/>
      <c r="H8" s="113"/>
      <c r="I8" s="113"/>
      <c r="J8" s="113"/>
      <c r="K8" s="113"/>
      <c r="L8" s="113"/>
      <c r="M8" s="113"/>
      <c r="N8" s="113"/>
      <c r="O8" s="113"/>
      <c r="P8" s="113"/>
      <c r="Q8" s="113"/>
      <c r="R8" s="113"/>
      <c r="S8" s="113"/>
      <c r="T8" s="113"/>
      <c r="U8" s="113"/>
      <c r="V8" s="113"/>
      <c r="W8" s="113"/>
      <c r="Y8" s="755"/>
      <c r="Z8" s="755"/>
      <c r="AA8" s="755"/>
      <c r="AB8" s="755"/>
      <c r="AC8" s="755"/>
      <c r="AD8" s="755"/>
      <c r="AE8" s="755"/>
      <c r="AF8" s="755"/>
      <c r="AG8" s="755"/>
      <c r="AH8" s="755"/>
      <c r="AI8" s="755"/>
      <c r="AJ8" s="755"/>
      <c r="AK8" s="755"/>
      <c r="AL8" s="755"/>
      <c r="AM8" s="755"/>
      <c r="AN8" s="755"/>
      <c r="AO8" s="755"/>
      <c r="AP8" s="755"/>
      <c r="AQ8" s="755"/>
    </row>
    <row r="9" spans="1:43" ht="27" customHeight="1">
      <c r="D9" s="1082" t="s">
        <v>88</v>
      </c>
      <c r="E9" s="1063" t="s">
        <v>138</v>
      </c>
      <c r="F9" s="1062"/>
      <c r="G9" s="1082" t="s">
        <v>115</v>
      </c>
      <c r="H9" s="1082" t="s">
        <v>88</v>
      </c>
      <c r="I9" s="1082"/>
      <c r="J9" s="1082" t="s">
        <v>139</v>
      </c>
      <c r="K9" s="1143" t="s">
        <v>140</v>
      </c>
      <c r="L9" s="1143"/>
      <c r="M9" s="1143"/>
      <c r="N9" s="1143"/>
      <c r="O9" s="1143" t="s">
        <v>141</v>
      </c>
      <c r="P9" s="1143"/>
      <c r="Q9" s="1143"/>
      <c r="R9" s="1143"/>
      <c r="S9" s="1143" t="s">
        <v>142</v>
      </c>
      <c r="T9" s="1143"/>
      <c r="U9" s="1143"/>
      <c r="V9" s="1143"/>
      <c r="W9" s="1082" t="s">
        <v>143</v>
      </c>
    </row>
    <row r="10" spans="1:43" ht="30" customHeight="1">
      <c r="D10" s="1082"/>
      <c r="E10" s="39" t="s">
        <v>89</v>
      </c>
      <c r="F10" s="39" t="s">
        <v>144</v>
      </c>
      <c r="G10" s="1082"/>
      <c r="H10" s="1082"/>
      <c r="I10" s="1082"/>
      <c r="J10" s="1082"/>
      <c r="K10" s="39" t="s">
        <v>118</v>
      </c>
      <c r="L10" s="1082" t="s">
        <v>88</v>
      </c>
      <c r="M10" s="1082"/>
      <c r="N10" s="39" t="s">
        <v>145</v>
      </c>
      <c r="O10" s="39" t="s">
        <v>118</v>
      </c>
      <c r="P10" s="1082" t="s">
        <v>88</v>
      </c>
      <c r="Q10" s="1082"/>
      <c r="R10" s="39" t="s">
        <v>145</v>
      </c>
      <c r="S10" s="39" t="s">
        <v>118</v>
      </c>
      <c r="T10" s="1082" t="s">
        <v>88</v>
      </c>
      <c r="U10" s="1082"/>
      <c r="V10" s="39" t="s">
        <v>89</v>
      </c>
      <c r="W10" s="1082"/>
      <c r="Z10" s="15" t="s">
        <v>146</v>
      </c>
      <c r="AA10" s="15" t="s">
        <v>147</v>
      </c>
      <c r="AB10" s="15" t="s">
        <v>148</v>
      </c>
      <c r="AC10" s="15" t="s">
        <v>149</v>
      </c>
      <c r="AD10" s="15" t="s">
        <v>150</v>
      </c>
      <c r="AE10" s="15" t="s">
        <v>151</v>
      </c>
      <c r="AF10" s="15" t="s">
        <v>152</v>
      </c>
      <c r="AG10" s="15" t="s">
        <v>153</v>
      </c>
      <c r="AH10" s="15" t="s">
        <v>154</v>
      </c>
      <c r="AI10" s="15" t="s">
        <v>155</v>
      </c>
      <c r="AJ10" s="15" t="s">
        <v>156</v>
      </c>
      <c r="AK10" s="15" t="s">
        <v>157</v>
      </c>
      <c r="AL10" s="15" t="s">
        <v>158</v>
      </c>
      <c r="AM10" s="15" t="s">
        <v>159</v>
      </c>
      <c r="AN10" s="15" t="s">
        <v>160</v>
      </c>
      <c r="AO10" s="15" t="s">
        <v>161</v>
      </c>
      <c r="AP10" s="15" t="s">
        <v>162</v>
      </c>
      <c r="AQ10" s="15" t="s">
        <v>163</v>
      </c>
    </row>
    <row r="11" spans="1:43" s="66" customFormat="1" ht="12" hidden="1" customHeight="1">
      <c r="D11" s="741" t="s">
        <v>119</v>
      </c>
      <c r="E11" s="741" t="s">
        <v>103</v>
      </c>
      <c r="F11" s="741"/>
      <c r="G11" s="741" t="s">
        <v>90</v>
      </c>
      <c r="H11" s="1138" t="s">
        <v>120</v>
      </c>
      <c r="I11" s="1138"/>
      <c r="J11" s="741" t="s">
        <v>92</v>
      </c>
      <c r="K11" s="741" t="s">
        <v>93</v>
      </c>
      <c r="L11" s="1138" t="s">
        <v>121</v>
      </c>
      <c r="M11" s="1138"/>
      <c r="N11" s="741" t="s">
        <v>164</v>
      </c>
      <c r="O11" s="741" t="s">
        <v>165</v>
      </c>
      <c r="P11" s="1138" t="s">
        <v>166</v>
      </c>
      <c r="Q11" s="1138"/>
      <c r="R11" s="741" t="s">
        <v>167</v>
      </c>
      <c r="S11" s="741" t="s">
        <v>166</v>
      </c>
      <c r="T11" s="1138" t="s">
        <v>167</v>
      </c>
      <c r="U11" s="1138"/>
      <c r="V11" s="741" t="s">
        <v>168</v>
      </c>
      <c r="W11" s="741" t="s">
        <v>169</v>
      </c>
      <c r="Y11" s="15"/>
      <c r="Z11" s="15"/>
      <c r="AA11" s="15"/>
      <c r="AB11" s="15"/>
      <c r="AC11" s="15"/>
      <c r="AD11" s="15"/>
      <c r="AE11" s="15"/>
      <c r="AF11" s="15"/>
      <c r="AG11" s="15"/>
      <c r="AH11" s="15"/>
      <c r="AI11" s="15"/>
      <c r="AJ11" s="15"/>
      <c r="AK11" s="15"/>
      <c r="AL11" s="15"/>
      <c r="AM11" s="15"/>
      <c r="AN11" s="15"/>
      <c r="AO11" s="15"/>
      <c r="AP11" s="15"/>
      <c r="AQ11" s="15"/>
    </row>
    <row r="12" spans="1:43" ht="14.25" hidden="1" customHeight="1">
      <c r="C12" s="74"/>
      <c r="D12" s="477">
        <v>0</v>
      </c>
      <c r="E12" s="39"/>
      <c r="F12" s="39"/>
      <c r="G12" s="39"/>
      <c r="H12" s="144"/>
      <c r="I12" s="144"/>
      <c r="J12" s="41"/>
      <c r="K12" s="41"/>
      <c r="L12" s="41"/>
      <c r="M12" s="41"/>
      <c r="N12" s="145"/>
      <c r="O12" s="41"/>
      <c r="P12" s="41"/>
      <c r="Q12" s="41"/>
      <c r="R12" s="146"/>
      <c r="S12" s="41"/>
      <c r="T12" s="41"/>
      <c r="U12" s="41"/>
      <c r="V12" s="146"/>
      <c r="W12" s="41"/>
    </row>
    <row r="13" spans="1:43" s="33" customFormat="1" ht="17.25" hidden="1" customHeight="1">
      <c r="A13" s="191"/>
      <c r="C13" s="74"/>
      <c r="D13" s="1112">
        <v>1</v>
      </c>
      <c r="E13" s="1113" t="s">
        <v>170</v>
      </c>
      <c r="F13" s="1115" t="s">
        <v>57</v>
      </c>
      <c r="G13" s="1113"/>
      <c r="H13" s="1118"/>
      <c r="I13" s="1120"/>
      <c r="J13" s="1122"/>
      <c r="K13" s="1110"/>
      <c r="L13" s="1110"/>
      <c r="M13" s="1110"/>
      <c r="N13" s="1125"/>
      <c r="O13" s="1110"/>
      <c r="P13" s="1110"/>
      <c r="Q13" s="1110"/>
      <c r="R13" s="1128"/>
      <c r="S13" s="1110"/>
      <c r="T13" s="828"/>
      <c r="U13" s="828"/>
      <c r="V13" s="827"/>
      <c r="W13" s="771"/>
      <c r="Y13" s="756"/>
      <c r="Z13" s="756"/>
      <c r="AA13" s="756"/>
      <c r="AB13" s="756"/>
      <c r="AC13" s="756" t="s">
        <v>171</v>
      </c>
      <c r="AD13" s="756" t="s">
        <v>172</v>
      </c>
      <c r="AE13" s="756" t="s">
        <v>173</v>
      </c>
      <c r="AF13" s="756" t="s">
        <v>174</v>
      </c>
      <c r="AG13" s="756" t="s">
        <v>175</v>
      </c>
      <c r="AH13" s="7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56" t="str">
        <f>IF($G$13=0,"",$G$13)</f>
        <v/>
      </c>
      <c r="AJ13" s="756" t="str">
        <f>IF($J$13=0,"",$J$13)</f>
        <v/>
      </c>
      <c r="AK13" s="756" t="str">
        <f>IF($K$13="нет","без дифференциации",IF($N$13=0,"",$N$13))</f>
        <v/>
      </c>
      <c r="AL13" s="756" t="str">
        <f>IF($O$13="нет","без дифференциации",IF($R$13=0,"",$R$13))</f>
        <v/>
      </c>
      <c r="AM13" s="756" t="str">
        <f>IF($S$13="нет","без дифференциации",IF($V$13=0,"",$V$13))</f>
        <v/>
      </c>
      <c r="AN13" s="756">
        <f>$I$13</f>
        <v>0</v>
      </c>
      <c r="AO13" s="756" t="str">
        <f>$I$13&amp;"."&amp;$M$13</f>
        <v>.</v>
      </c>
      <c r="AP13" s="756" t="str">
        <f>$I$13&amp;"."&amp;$M$13&amp;"."&amp;$Q$13</f>
        <v>..</v>
      </c>
      <c r="AQ13" s="756" t="str">
        <f>$I$13&amp;"."&amp;$M$13&amp;"."&amp;$Q$13&amp;"."&amp;$U$13</f>
        <v>...</v>
      </c>
    </row>
    <row r="14" spans="1:43" s="33" customFormat="1" ht="17.25" hidden="1" customHeight="1">
      <c r="A14" s="191"/>
      <c r="D14" s="1112"/>
      <c r="E14" s="1113"/>
      <c r="F14" s="1116"/>
      <c r="G14" s="1113"/>
      <c r="H14" s="1119"/>
      <c r="I14" s="1121"/>
      <c r="J14" s="1123"/>
      <c r="K14" s="1111"/>
      <c r="L14" s="1111"/>
      <c r="M14" s="1111"/>
      <c r="N14" s="1126"/>
      <c r="O14" s="1111"/>
      <c r="P14" s="1111"/>
      <c r="Q14" s="1111"/>
      <c r="R14" s="1127"/>
      <c r="S14" s="1111"/>
      <c r="T14" s="772"/>
      <c r="U14" s="772"/>
      <c r="V14" s="772"/>
      <c r="W14" s="773"/>
      <c r="Y14" s="15"/>
      <c r="Z14" s="15"/>
      <c r="AA14" s="15"/>
      <c r="AB14" s="15"/>
      <c r="AC14" s="15"/>
      <c r="AD14" s="15"/>
      <c r="AE14" s="15"/>
      <c r="AF14" s="15"/>
      <c r="AG14" s="15"/>
      <c r="AH14" s="15"/>
      <c r="AI14" s="15"/>
      <c r="AJ14" s="15"/>
      <c r="AK14" s="15"/>
      <c r="AL14" s="15"/>
      <c r="AM14" s="15"/>
      <c r="AN14" s="15"/>
      <c r="AO14" s="15"/>
      <c r="AP14" s="15"/>
      <c r="AQ14" s="15"/>
    </row>
    <row r="15" spans="1:43" s="33" customFormat="1" ht="17.25" hidden="1" customHeight="1">
      <c r="A15" s="191"/>
      <c r="C15" s="74"/>
      <c r="D15" s="1112"/>
      <c r="E15" s="1113"/>
      <c r="F15" s="1116"/>
      <c r="G15" s="1113"/>
      <c r="H15" s="1119"/>
      <c r="I15" s="1121"/>
      <c r="J15" s="1124"/>
      <c r="K15" s="1111"/>
      <c r="L15" s="1111"/>
      <c r="M15" s="1111"/>
      <c r="N15" s="1127"/>
      <c r="O15" s="1111"/>
      <c r="P15" s="53"/>
      <c r="Q15" s="772"/>
      <c r="R15" s="772"/>
      <c r="W15" s="773"/>
      <c r="Y15" s="756"/>
      <c r="Z15" s="756"/>
      <c r="AA15" s="756"/>
      <c r="AB15" s="756"/>
      <c r="AC15" s="756"/>
      <c r="AD15" s="756"/>
      <c r="AE15" s="756"/>
      <c r="AF15" s="756"/>
      <c r="AG15" s="756"/>
      <c r="AH15" s="756"/>
      <c r="AI15" s="756"/>
      <c r="AJ15" s="756"/>
      <c r="AK15" s="756"/>
      <c r="AL15" s="756"/>
      <c r="AM15" s="756"/>
      <c r="AN15" s="756"/>
      <c r="AO15" s="756"/>
      <c r="AP15" s="756"/>
      <c r="AQ15" s="756"/>
    </row>
    <row r="16" spans="1:43" s="33" customFormat="1" ht="17.25" hidden="1" customHeight="1">
      <c r="A16" s="191"/>
      <c r="D16" s="1112"/>
      <c r="E16" s="1113"/>
      <c r="F16" s="1116"/>
      <c r="G16" s="1113"/>
      <c r="H16" s="1119"/>
      <c r="I16" s="1121"/>
      <c r="J16" s="1124"/>
      <c r="K16" s="1111"/>
      <c r="L16" s="772"/>
      <c r="M16" s="772"/>
      <c r="N16" s="772"/>
      <c r="O16" s="772"/>
      <c r="P16" s="772"/>
      <c r="Q16" s="772"/>
      <c r="R16" s="772"/>
      <c r="W16" s="773"/>
      <c r="Y16" s="15"/>
      <c r="Z16" s="15"/>
      <c r="AA16" s="15"/>
      <c r="AB16" s="15"/>
      <c r="AC16" s="15"/>
      <c r="AD16" s="15"/>
      <c r="AE16" s="15"/>
      <c r="AF16" s="15"/>
      <c r="AG16" s="15"/>
      <c r="AH16" s="15"/>
      <c r="AI16" s="15"/>
      <c r="AJ16" s="15"/>
      <c r="AK16" s="15"/>
      <c r="AL16" s="15"/>
      <c r="AM16" s="15"/>
      <c r="AN16" s="15"/>
      <c r="AO16" s="15"/>
      <c r="AP16" s="15"/>
      <c r="AQ16" s="15"/>
    </row>
    <row r="17" spans="1:43" s="33" customFormat="1" ht="17.25" hidden="1" customHeight="1">
      <c r="A17" s="191"/>
      <c r="D17" s="1094"/>
      <c r="E17" s="1114"/>
      <c r="F17" s="1117"/>
      <c r="G17" s="1114"/>
      <c r="H17" s="774"/>
      <c r="I17" s="775"/>
      <c r="J17" s="775"/>
      <c r="K17" s="775"/>
      <c r="L17" s="775"/>
      <c r="M17" s="775"/>
      <c r="N17" s="775"/>
      <c r="O17" s="775"/>
      <c r="P17" s="775"/>
      <c r="Q17" s="775"/>
      <c r="R17" s="775"/>
      <c r="S17" s="776"/>
      <c r="T17" s="776"/>
      <c r="U17" s="776"/>
      <c r="V17" s="776"/>
      <c r="W17" s="777"/>
      <c r="Y17" s="15"/>
      <c r="Z17" s="15"/>
      <c r="AA17" s="15"/>
      <c r="AB17" s="15"/>
      <c r="AC17" s="15"/>
      <c r="AD17" s="15"/>
      <c r="AE17" s="15"/>
      <c r="AF17" s="15"/>
      <c r="AG17" s="15"/>
      <c r="AH17" s="15"/>
      <c r="AI17" s="15"/>
      <c r="AJ17" s="15"/>
      <c r="AK17" s="15"/>
      <c r="AL17" s="15"/>
      <c r="AM17" s="15"/>
      <c r="AN17" s="15"/>
      <c r="AO17" s="15"/>
      <c r="AP17" s="15"/>
      <c r="AQ17" s="15"/>
    </row>
    <row r="18" spans="1:43" s="33" customFormat="1" ht="17.25" hidden="1" customHeight="1">
      <c r="A18" s="191"/>
      <c r="C18" s="74"/>
      <c r="D18" s="1112">
        <v>2</v>
      </c>
      <c r="E18" s="1113" t="s">
        <v>176</v>
      </c>
      <c r="F18" s="1115" t="s">
        <v>57</v>
      </c>
      <c r="G18" s="1113"/>
      <c r="H18" s="1118"/>
      <c r="I18" s="1120"/>
      <c r="J18" s="1122"/>
      <c r="K18" s="1110"/>
      <c r="L18" s="1110"/>
      <c r="M18" s="1110"/>
      <c r="N18" s="1125"/>
      <c r="O18" s="1110"/>
      <c r="P18" s="1110"/>
      <c r="Q18" s="1110"/>
      <c r="R18" s="1128"/>
      <c r="S18" s="1110"/>
      <c r="T18" s="828"/>
      <c r="U18" s="828"/>
      <c r="V18" s="827"/>
      <c r="W18" s="771"/>
      <c r="X18" s="756"/>
      <c r="Y18" s="756"/>
      <c r="Z18" s="756"/>
      <c r="AA18" s="756"/>
      <c r="AB18" s="756"/>
      <c r="AC18" s="756" t="s">
        <v>177</v>
      </c>
      <c r="AD18" s="756" t="s">
        <v>178</v>
      </c>
      <c r="AE18" s="756" t="s">
        <v>179</v>
      </c>
      <c r="AF18" s="756" t="s">
        <v>180</v>
      </c>
      <c r="AG18" s="756" t="s">
        <v>181</v>
      </c>
      <c r="AH18" s="756" t="str">
        <f>IF($E$18=0,"",$E$18)</f>
        <v>Тарифы на тепловую энергию (мощность), поставляемую теплоснабжающими организациями потребителям, другим теплоснабжающим организациям</v>
      </c>
      <c r="AI18" s="756" t="str">
        <f>IF($G$18=0,"",$G$18)</f>
        <v/>
      </c>
      <c r="AJ18" s="756" t="str">
        <f>IF($J$18=0,"",$J$18)</f>
        <v/>
      </c>
      <c r="AK18" s="756" t="str">
        <f>IF($K$18="нет","без дифференциации",IF($N$18=0,"",$N$18))</f>
        <v/>
      </c>
      <c r="AL18" s="756" t="str">
        <f>IF($O$18="нет","без дифференциации",IF($R$18=0,"",$R$18))</f>
        <v/>
      </c>
      <c r="AM18" s="756" t="str">
        <f>IF($S$18="нет","без дифференциации",IF($V$18=0,"",$V$18))</f>
        <v/>
      </c>
      <c r="AN18" s="1004">
        <f>$I$18</f>
        <v>0</v>
      </c>
      <c r="AO18" s="756" t="str">
        <f>$I$18&amp;"."&amp;$M$18</f>
        <v>.</v>
      </c>
      <c r="AP18" s="15" t="str">
        <f>$I$18&amp;"."&amp;$M$18&amp;"."&amp;$Q$18</f>
        <v>..</v>
      </c>
      <c r="AQ18" s="15" t="str">
        <f>$I$18&amp;"."&amp;$M$18&amp;"."&amp;$Q$18&amp;"."&amp;$U$18</f>
        <v>...</v>
      </c>
    </row>
    <row r="19" spans="1:43" s="33" customFormat="1" ht="17.25" hidden="1" customHeight="1">
      <c r="A19" s="191"/>
      <c r="D19" s="1112"/>
      <c r="E19" s="1113"/>
      <c r="F19" s="1116"/>
      <c r="G19" s="1113"/>
      <c r="H19" s="1119"/>
      <c r="I19" s="1121"/>
      <c r="J19" s="1123"/>
      <c r="K19" s="1111"/>
      <c r="L19" s="1111"/>
      <c r="M19" s="1111"/>
      <c r="N19" s="1126"/>
      <c r="O19" s="1111"/>
      <c r="P19" s="1111"/>
      <c r="Q19" s="1111"/>
      <c r="R19" s="1127"/>
      <c r="S19" s="1111"/>
      <c r="T19" s="772"/>
      <c r="U19" s="772"/>
      <c r="V19" s="772"/>
      <c r="W19" s="773"/>
      <c r="X19" s="15"/>
      <c r="Y19" s="15"/>
      <c r="Z19" s="15"/>
      <c r="AA19" s="15"/>
      <c r="AB19" s="15"/>
      <c r="AC19" s="15"/>
      <c r="AD19" s="15"/>
      <c r="AE19" s="15"/>
      <c r="AF19" s="15"/>
      <c r="AG19" s="15"/>
      <c r="AH19" s="15"/>
      <c r="AI19" s="15"/>
      <c r="AJ19" s="15"/>
      <c r="AK19" s="15"/>
      <c r="AL19" s="15"/>
      <c r="AM19" s="15"/>
      <c r="AN19" s="15"/>
      <c r="AO19" s="15"/>
      <c r="AP19" s="15"/>
      <c r="AQ19" s="15"/>
    </row>
    <row r="20" spans="1:43" s="33" customFormat="1" ht="17.25" hidden="1" customHeight="1">
      <c r="A20" s="191"/>
      <c r="D20" s="1094"/>
      <c r="E20" s="1114"/>
      <c r="F20" s="1116"/>
      <c r="G20" s="1114"/>
      <c r="H20" s="1119"/>
      <c r="I20" s="1121"/>
      <c r="J20" s="1124"/>
      <c r="K20" s="1111"/>
      <c r="L20" s="1111"/>
      <c r="M20" s="1111"/>
      <c r="N20" s="1127"/>
      <c r="O20" s="1111"/>
      <c r="P20" s="53"/>
      <c r="Q20" s="772"/>
      <c r="R20" s="772"/>
      <c r="W20" s="773"/>
      <c r="X20" s="15"/>
      <c r="Y20" s="15"/>
      <c r="Z20" s="15"/>
      <c r="AA20" s="15"/>
      <c r="AB20" s="15"/>
      <c r="AC20" s="15"/>
      <c r="AD20" s="15"/>
      <c r="AE20" s="15"/>
      <c r="AF20" s="15"/>
      <c r="AG20" s="15"/>
      <c r="AH20" s="15"/>
      <c r="AI20" s="15"/>
      <c r="AJ20" s="15"/>
      <c r="AK20" s="15"/>
      <c r="AL20" s="15"/>
      <c r="AM20" s="15"/>
      <c r="AN20" s="15"/>
      <c r="AO20" s="15"/>
      <c r="AP20" s="15"/>
      <c r="AQ20" s="15"/>
    </row>
    <row r="21" spans="1:43" s="33" customFormat="1" ht="17.25" hidden="1" customHeight="1">
      <c r="A21" s="191"/>
      <c r="D21" s="1094"/>
      <c r="E21" s="1114"/>
      <c r="F21" s="1116"/>
      <c r="G21" s="1114"/>
      <c r="H21" s="1119"/>
      <c r="I21" s="1121"/>
      <c r="J21" s="1124"/>
      <c r="K21" s="1111"/>
      <c r="L21" s="772"/>
      <c r="M21" s="772"/>
      <c r="N21" s="772"/>
      <c r="O21" s="772"/>
      <c r="P21" s="772"/>
      <c r="Q21" s="772"/>
      <c r="R21" s="772"/>
      <c r="W21" s="773"/>
      <c r="X21" s="15"/>
      <c r="Y21" s="15"/>
      <c r="Z21" s="15"/>
      <c r="AA21" s="15"/>
      <c r="AB21" s="15"/>
      <c r="AC21" s="15"/>
      <c r="AD21" s="15"/>
      <c r="AE21" s="15"/>
      <c r="AF21" s="15"/>
      <c r="AG21" s="15"/>
      <c r="AH21" s="15"/>
      <c r="AI21" s="15"/>
      <c r="AJ21" s="15"/>
      <c r="AK21" s="15"/>
      <c r="AL21" s="15"/>
      <c r="AM21" s="15"/>
      <c r="AN21" s="15"/>
      <c r="AO21" s="15"/>
      <c r="AP21" s="15"/>
      <c r="AQ21" s="15"/>
    </row>
    <row r="22" spans="1:43" s="33" customFormat="1" ht="17.25" hidden="1" customHeight="1">
      <c r="A22" s="191"/>
      <c r="D22" s="1094"/>
      <c r="E22" s="1114"/>
      <c r="F22" s="1117"/>
      <c r="G22" s="1114"/>
      <c r="H22" s="774"/>
      <c r="I22" s="775"/>
      <c r="J22" s="775"/>
      <c r="K22" s="775"/>
      <c r="L22" s="775"/>
      <c r="M22" s="775"/>
      <c r="N22" s="775"/>
      <c r="O22" s="775"/>
      <c r="P22" s="775"/>
      <c r="Q22" s="775"/>
      <c r="R22" s="775"/>
      <c r="S22" s="776"/>
      <c r="T22" s="776"/>
      <c r="U22" s="776"/>
      <c r="V22" s="776"/>
      <c r="W22" s="777"/>
      <c r="X22" s="15"/>
      <c r="Y22" s="15"/>
      <c r="Z22" s="15"/>
      <c r="AA22" s="15"/>
      <c r="AB22" s="15"/>
      <c r="AC22" s="15"/>
      <c r="AD22" s="15"/>
      <c r="AE22" s="15"/>
      <c r="AF22" s="15"/>
      <c r="AG22" s="15"/>
      <c r="AH22" s="15"/>
      <c r="AI22" s="15"/>
      <c r="AJ22" s="15"/>
      <c r="AK22" s="15"/>
      <c r="AL22" s="15"/>
      <c r="AM22" s="15"/>
      <c r="AN22" s="15"/>
      <c r="AO22" s="15"/>
      <c r="AP22" s="15"/>
      <c r="AQ22" s="15"/>
    </row>
    <row r="23" spans="1:43" s="33" customFormat="1" ht="17.25" hidden="1" customHeight="1">
      <c r="A23" s="191"/>
      <c r="C23" s="74"/>
      <c r="D23" s="1112">
        <v>3</v>
      </c>
      <c r="E23" s="1113" t="s">
        <v>182</v>
      </c>
      <c r="F23" s="1115" t="s">
        <v>57</v>
      </c>
      <c r="G23" s="1113"/>
      <c r="H23" s="1118"/>
      <c r="I23" s="1120"/>
      <c r="J23" s="1122"/>
      <c r="K23" s="1110"/>
      <c r="L23" s="1110"/>
      <c r="M23" s="1110"/>
      <c r="N23" s="1125"/>
      <c r="O23" s="1110"/>
      <c r="P23" s="1110"/>
      <c r="Q23" s="1110"/>
      <c r="R23" s="1128"/>
      <c r="S23" s="1110"/>
      <c r="T23" s="828"/>
      <c r="U23" s="828"/>
      <c r="V23" s="827"/>
      <c r="W23" s="771"/>
      <c r="X23" s="756"/>
      <c r="Y23" s="756"/>
      <c r="Z23" s="756"/>
      <c r="AA23" s="756"/>
      <c r="AB23" s="756"/>
      <c r="AC23" s="756" t="s">
        <v>183</v>
      </c>
      <c r="AD23" s="756" t="s">
        <v>184</v>
      </c>
      <c r="AE23" s="756" t="s">
        <v>185</v>
      </c>
      <c r="AF23" s="756" t="s">
        <v>186</v>
      </c>
      <c r="AG23" s="756" t="s">
        <v>187</v>
      </c>
      <c r="AH23" s="756" t="str">
        <f>IF($E$23=0,"",$E$23)</f>
        <v>Тарифы на теплоноситель, поставляемый теплоснабжающими организациями потребителям, другим теплоснабжающим организациям</v>
      </c>
      <c r="AI23" s="756" t="str">
        <f>IF($G$23=0,"",$G$23)</f>
        <v/>
      </c>
      <c r="AJ23" s="756" t="str">
        <f>IF($J$23=0,"",$J$23)</f>
        <v/>
      </c>
      <c r="AK23" s="756" t="str">
        <f>IF($K$23="нет","без дифференциации",IF($N$23=0,"",$N$23))</f>
        <v/>
      </c>
      <c r="AL23" s="756" t="str">
        <f>IF($O$23="нет","без дифференциации",IF($R$23=0,"",$R$23))</f>
        <v/>
      </c>
      <c r="AM23" s="756" t="str">
        <f>IF($S$23="нет","без дифференциации",IF($V$23=0,"",$V$23))</f>
        <v/>
      </c>
      <c r="AN23" s="1004">
        <f>$I$23</f>
        <v>0</v>
      </c>
      <c r="AO23" s="756" t="str">
        <f>$I$23&amp;"."&amp;$M$23</f>
        <v>.</v>
      </c>
      <c r="AP23" s="15" t="str">
        <f>$I$23&amp;"."&amp;$M$23&amp;"."&amp;$Q$23</f>
        <v>..</v>
      </c>
      <c r="AQ23" s="15" t="str">
        <f>$I$23&amp;"."&amp;$M$23&amp;"."&amp;$Q$23&amp;"."&amp;$U$23</f>
        <v>...</v>
      </c>
    </row>
    <row r="24" spans="1:43" s="33" customFormat="1" ht="17.25" hidden="1" customHeight="1">
      <c r="A24" s="191"/>
      <c r="D24" s="1112"/>
      <c r="E24" s="1113"/>
      <c r="F24" s="1116"/>
      <c r="G24" s="1113"/>
      <c r="H24" s="1119"/>
      <c r="I24" s="1121"/>
      <c r="J24" s="1123"/>
      <c r="K24" s="1111"/>
      <c r="L24" s="1111"/>
      <c r="M24" s="1111"/>
      <c r="N24" s="1126"/>
      <c r="O24" s="1111"/>
      <c r="P24" s="1111"/>
      <c r="Q24" s="1111"/>
      <c r="R24" s="1127"/>
      <c r="S24" s="1111"/>
      <c r="T24" s="772"/>
      <c r="U24" s="772"/>
      <c r="V24" s="772"/>
      <c r="W24" s="773"/>
      <c r="X24" s="15"/>
      <c r="Y24" s="15"/>
      <c r="Z24" s="15"/>
      <c r="AA24" s="15"/>
      <c r="AB24" s="15"/>
      <c r="AC24" s="15"/>
      <c r="AD24" s="15"/>
      <c r="AE24" s="15"/>
      <c r="AF24" s="15"/>
      <c r="AG24" s="15"/>
      <c r="AH24" s="15"/>
      <c r="AI24" s="15"/>
      <c r="AJ24" s="15"/>
      <c r="AK24" s="15"/>
      <c r="AL24" s="15"/>
      <c r="AM24" s="15"/>
      <c r="AN24" s="15"/>
      <c r="AO24" s="15"/>
      <c r="AP24" s="15"/>
      <c r="AQ24" s="15"/>
    </row>
    <row r="25" spans="1:43" s="33" customFormat="1" ht="17.25" hidden="1" customHeight="1">
      <c r="A25" s="191"/>
      <c r="D25" s="1094"/>
      <c r="E25" s="1114"/>
      <c r="F25" s="1116"/>
      <c r="G25" s="1114"/>
      <c r="H25" s="1119"/>
      <c r="I25" s="1121"/>
      <c r="J25" s="1124"/>
      <c r="K25" s="1111"/>
      <c r="L25" s="1111"/>
      <c r="M25" s="1111"/>
      <c r="N25" s="1127"/>
      <c r="O25" s="1111"/>
      <c r="P25" s="53"/>
      <c r="Q25" s="772"/>
      <c r="R25" s="772"/>
      <c r="W25" s="773"/>
      <c r="X25" s="15"/>
      <c r="Y25" s="15"/>
      <c r="Z25" s="15"/>
      <c r="AA25" s="15"/>
      <c r="AB25" s="15"/>
      <c r="AC25" s="15"/>
      <c r="AD25" s="15"/>
      <c r="AE25" s="15"/>
      <c r="AF25" s="15"/>
      <c r="AG25" s="15"/>
      <c r="AH25" s="15"/>
      <c r="AI25" s="15"/>
      <c r="AJ25" s="15"/>
      <c r="AK25" s="15"/>
      <c r="AL25" s="15"/>
      <c r="AM25" s="15"/>
      <c r="AN25" s="15"/>
      <c r="AO25" s="15"/>
      <c r="AP25" s="15"/>
      <c r="AQ25" s="15"/>
    </row>
    <row r="26" spans="1:43" s="33" customFormat="1" ht="17.25" hidden="1" customHeight="1">
      <c r="A26" s="191"/>
      <c r="D26" s="1094"/>
      <c r="E26" s="1114"/>
      <c r="F26" s="1116"/>
      <c r="G26" s="1114"/>
      <c r="H26" s="1119"/>
      <c r="I26" s="1121"/>
      <c r="J26" s="1124"/>
      <c r="K26" s="1111"/>
      <c r="L26" s="772"/>
      <c r="M26" s="772"/>
      <c r="N26" s="772"/>
      <c r="O26" s="772"/>
      <c r="P26" s="772"/>
      <c r="Q26" s="772"/>
      <c r="R26" s="772"/>
      <c r="W26" s="773"/>
      <c r="X26" s="15"/>
      <c r="Y26" s="15"/>
      <c r="Z26" s="15"/>
      <c r="AA26" s="15"/>
      <c r="AB26" s="15"/>
      <c r="AC26" s="15"/>
      <c r="AD26" s="15"/>
      <c r="AE26" s="15"/>
      <c r="AF26" s="15"/>
      <c r="AG26" s="15"/>
      <c r="AH26" s="15"/>
      <c r="AI26" s="15"/>
      <c r="AJ26" s="15"/>
      <c r="AK26" s="15"/>
      <c r="AL26" s="15"/>
      <c r="AM26" s="15"/>
      <c r="AN26" s="15"/>
      <c r="AO26" s="15"/>
      <c r="AP26" s="15"/>
      <c r="AQ26" s="15"/>
    </row>
    <row r="27" spans="1:43" s="33" customFormat="1" ht="17.25" hidden="1" customHeight="1">
      <c r="A27" s="191"/>
      <c r="D27" s="1094"/>
      <c r="E27" s="1114"/>
      <c r="F27" s="1117"/>
      <c r="G27" s="1114"/>
      <c r="H27" s="774"/>
      <c r="I27" s="775"/>
      <c r="J27" s="775"/>
      <c r="K27" s="775"/>
      <c r="L27" s="775"/>
      <c r="M27" s="775"/>
      <c r="N27" s="775"/>
      <c r="O27" s="775"/>
      <c r="P27" s="775"/>
      <c r="Q27" s="775"/>
      <c r="R27" s="775"/>
      <c r="S27" s="776"/>
      <c r="T27" s="776"/>
      <c r="U27" s="776"/>
      <c r="V27" s="776"/>
      <c r="W27" s="777"/>
      <c r="X27" s="15"/>
      <c r="Y27" s="15"/>
      <c r="Z27" s="15"/>
      <c r="AA27" s="15"/>
      <c r="AB27" s="15"/>
      <c r="AC27" s="15"/>
      <c r="AD27" s="15"/>
      <c r="AE27" s="15"/>
      <c r="AF27" s="15"/>
      <c r="AG27" s="15"/>
      <c r="AH27" s="15"/>
      <c r="AI27" s="15"/>
      <c r="AJ27" s="15"/>
      <c r="AK27" s="15"/>
      <c r="AL27" s="15"/>
      <c r="AM27" s="15"/>
      <c r="AN27" s="15"/>
      <c r="AO27" s="15"/>
      <c r="AP27" s="15"/>
      <c r="AQ27" s="15"/>
    </row>
    <row r="28" spans="1:43" s="33" customFormat="1" ht="17.25" hidden="1" customHeight="1">
      <c r="A28" s="191"/>
      <c r="C28" s="74"/>
      <c r="D28" s="1112">
        <v>4</v>
      </c>
      <c r="E28" s="1113" t="s">
        <v>188</v>
      </c>
      <c r="F28" s="1115" t="s">
        <v>57</v>
      </c>
      <c r="G28" s="1113"/>
      <c r="H28" s="1118"/>
      <c r="I28" s="1120"/>
      <c r="J28" s="1122"/>
      <c r="K28" s="1110"/>
      <c r="L28" s="1110"/>
      <c r="M28" s="1110"/>
      <c r="N28" s="1125"/>
      <c r="O28" s="1110"/>
      <c r="P28" s="1110"/>
      <c r="Q28" s="1110"/>
      <c r="R28" s="1128"/>
      <c r="S28" s="1110"/>
      <c r="T28" s="828"/>
      <c r="U28" s="828"/>
      <c r="V28" s="827"/>
      <c r="W28" s="771"/>
      <c r="X28" s="756"/>
      <c r="Y28" s="756"/>
      <c r="Z28" s="756"/>
      <c r="AA28" s="756"/>
      <c r="AB28" s="756"/>
      <c r="AC28" s="756" t="s">
        <v>189</v>
      </c>
      <c r="AD28" s="756" t="s">
        <v>190</v>
      </c>
      <c r="AE28" s="756" t="s">
        <v>191</v>
      </c>
      <c r="AF28" s="756" t="s">
        <v>192</v>
      </c>
      <c r="AG28" s="756" t="s">
        <v>193</v>
      </c>
      <c r="AH28" s="75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756" t="str">
        <f>IF($G$28=0,"",$G$28)</f>
        <v/>
      </c>
      <c r="AJ28" s="756" t="str">
        <f>IF($J$28=0,"",$J$28)</f>
        <v/>
      </c>
      <c r="AK28" s="756" t="str">
        <f>IF($K$28="нет","без дифференциации",IF($N$28=0,"",$N$28))</f>
        <v/>
      </c>
      <c r="AL28" s="756" t="str">
        <f>IF($O$28="нет","без дифференциации",IF($R$28=0,"",$R$28))</f>
        <v/>
      </c>
      <c r="AM28" s="756" t="str">
        <f>IF($S$28="нет","без дифференциации",IF($V$28=0,"",$V$28))</f>
        <v/>
      </c>
      <c r="AN28" s="1004">
        <f>$I$28</f>
        <v>0</v>
      </c>
      <c r="AO28" s="756" t="str">
        <f>$I$28&amp;"."&amp;$M$28</f>
        <v>.</v>
      </c>
      <c r="AP28" s="15" t="str">
        <f>$I$28&amp;"."&amp;$M$28&amp;"."&amp;$Q$28</f>
        <v>..</v>
      </c>
      <c r="AQ28" s="15" t="str">
        <f>$I$28&amp;"."&amp;$M$28&amp;"."&amp;$Q$28&amp;"."&amp;$U$28</f>
        <v>...</v>
      </c>
    </row>
    <row r="29" spans="1:43" s="33" customFormat="1" ht="17.25" hidden="1" customHeight="1">
      <c r="A29" s="191"/>
      <c r="D29" s="1112"/>
      <c r="E29" s="1113"/>
      <c r="F29" s="1116"/>
      <c r="G29" s="1113"/>
      <c r="H29" s="1119"/>
      <c r="I29" s="1121"/>
      <c r="J29" s="1123"/>
      <c r="K29" s="1111"/>
      <c r="L29" s="1111"/>
      <c r="M29" s="1111"/>
      <c r="N29" s="1126"/>
      <c r="O29" s="1111"/>
      <c r="P29" s="1111"/>
      <c r="Q29" s="1111"/>
      <c r="R29" s="1127"/>
      <c r="S29" s="1111"/>
      <c r="T29" s="772"/>
      <c r="U29" s="772"/>
      <c r="V29" s="772"/>
      <c r="W29" s="773"/>
      <c r="X29" s="15"/>
      <c r="Y29" s="15"/>
      <c r="Z29" s="15"/>
      <c r="AA29" s="15"/>
      <c r="AB29" s="15"/>
      <c r="AC29" s="15"/>
      <c r="AD29" s="15"/>
      <c r="AE29" s="15"/>
      <c r="AF29" s="15"/>
      <c r="AG29" s="15"/>
      <c r="AH29" s="15"/>
      <c r="AI29" s="15"/>
      <c r="AJ29" s="15"/>
      <c r="AK29" s="15"/>
      <c r="AL29" s="15"/>
      <c r="AM29" s="15"/>
      <c r="AN29" s="15"/>
      <c r="AO29" s="15"/>
      <c r="AP29" s="15"/>
      <c r="AQ29" s="15"/>
    </row>
    <row r="30" spans="1:43" s="33" customFormat="1" ht="17.25" hidden="1" customHeight="1">
      <c r="A30" s="191"/>
      <c r="D30" s="1094"/>
      <c r="E30" s="1114"/>
      <c r="F30" s="1116"/>
      <c r="G30" s="1114"/>
      <c r="H30" s="1119"/>
      <c r="I30" s="1121"/>
      <c r="J30" s="1124"/>
      <c r="K30" s="1111"/>
      <c r="L30" s="1111"/>
      <c r="M30" s="1111"/>
      <c r="N30" s="1127"/>
      <c r="O30" s="1111"/>
      <c r="P30" s="53"/>
      <c r="Q30" s="772"/>
      <c r="R30" s="772"/>
      <c r="W30" s="773"/>
      <c r="X30" s="15"/>
      <c r="Y30" s="15"/>
      <c r="Z30" s="15"/>
      <c r="AA30" s="15"/>
      <c r="AB30" s="15"/>
      <c r="AC30" s="15"/>
      <c r="AD30" s="15"/>
      <c r="AE30" s="15"/>
      <c r="AF30" s="15"/>
      <c r="AG30" s="15"/>
      <c r="AH30" s="15"/>
      <c r="AI30" s="15"/>
      <c r="AJ30" s="15"/>
      <c r="AK30" s="15"/>
      <c r="AL30" s="15"/>
      <c r="AM30" s="15"/>
      <c r="AN30" s="15"/>
      <c r="AO30" s="15"/>
      <c r="AP30" s="15"/>
      <c r="AQ30" s="15"/>
    </row>
    <row r="31" spans="1:43" s="33" customFormat="1" ht="17.25" hidden="1" customHeight="1">
      <c r="A31" s="191"/>
      <c r="D31" s="1094"/>
      <c r="E31" s="1114"/>
      <c r="F31" s="1116"/>
      <c r="G31" s="1114"/>
      <c r="H31" s="1119"/>
      <c r="I31" s="1121"/>
      <c r="J31" s="1124"/>
      <c r="K31" s="1111"/>
      <c r="L31" s="772"/>
      <c r="M31" s="772"/>
      <c r="N31" s="772"/>
      <c r="O31" s="772"/>
      <c r="P31" s="772"/>
      <c r="Q31" s="772"/>
      <c r="R31" s="772"/>
      <c r="W31" s="773"/>
      <c r="X31" s="15"/>
      <c r="Y31" s="15"/>
      <c r="Z31" s="15"/>
      <c r="AA31" s="15"/>
      <c r="AB31" s="15"/>
      <c r="AC31" s="15"/>
      <c r="AD31" s="15"/>
      <c r="AE31" s="15"/>
      <c r="AF31" s="15"/>
      <c r="AG31" s="15"/>
      <c r="AH31" s="15"/>
      <c r="AI31" s="15"/>
      <c r="AJ31" s="15"/>
      <c r="AK31" s="15"/>
      <c r="AL31" s="15"/>
      <c r="AM31" s="15"/>
      <c r="AN31" s="15"/>
      <c r="AO31" s="15"/>
      <c r="AP31" s="15"/>
      <c r="AQ31" s="15"/>
    </row>
    <row r="32" spans="1:43" s="33" customFormat="1" ht="17.25" hidden="1" customHeight="1">
      <c r="A32" s="191"/>
      <c r="D32" s="1094"/>
      <c r="E32" s="1114"/>
      <c r="F32" s="1117"/>
      <c r="G32" s="1114"/>
      <c r="H32" s="774"/>
      <c r="I32" s="775"/>
      <c r="J32" s="775"/>
      <c r="K32" s="775"/>
      <c r="L32" s="775"/>
      <c r="M32" s="775"/>
      <c r="N32" s="775"/>
      <c r="O32" s="775"/>
      <c r="P32" s="775"/>
      <c r="Q32" s="775"/>
      <c r="R32" s="775"/>
      <c r="S32" s="776"/>
      <c r="T32" s="776"/>
      <c r="U32" s="776"/>
      <c r="V32" s="776"/>
      <c r="W32" s="777"/>
      <c r="X32" s="15"/>
      <c r="Y32" s="15"/>
      <c r="Z32" s="15"/>
      <c r="AA32" s="15"/>
      <c r="AB32" s="15"/>
      <c r="AC32" s="15"/>
      <c r="AD32" s="15"/>
      <c r="AE32" s="15"/>
      <c r="AF32" s="15"/>
      <c r="AG32" s="15"/>
      <c r="AH32" s="15"/>
      <c r="AI32" s="15"/>
      <c r="AJ32" s="15"/>
      <c r="AK32" s="15"/>
      <c r="AL32" s="15"/>
      <c r="AM32" s="15"/>
      <c r="AN32" s="15"/>
      <c r="AO32" s="15"/>
      <c r="AP32" s="15"/>
      <c r="AQ32" s="15"/>
    </row>
    <row r="33" spans="1:43" s="33" customFormat="1" ht="17.25" hidden="1" customHeight="1">
      <c r="A33" s="191"/>
      <c r="C33" s="74"/>
      <c r="D33" s="1112">
        <v>5</v>
      </c>
      <c r="E33" s="1113" t="s">
        <v>194</v>
      </c>
      <c r="F33" s="1115" t="s">
        <v>57</v>
      </c>
      <c r="G33" s="1113"/>
      <c r="H33" s="1118"/>
      <c r="I33" s="1120"/>
      <c r="J33" s="1122"/>
      <c r="K33" s="1110"/>
      <c r="L33" s="1110"/>
      <c r="M33" s="1110"/>
      <c r="N33" s="1125"/>
      <c r="O33" s="1110"/>
      <c r="P33" s="1110"/>
      <c r="Q33" s="1110"/>
      <c r="R33" s="1128"/>
      <c r="S33" s="1110"/>
      <c r="T33" s="828"/>
      <c r="U33" s="828"/>
      <c r="V33" s="827"/>
      <c r="W33" s="771"/>
      <c r="X33" s="756"/>
      <c r="Y33" s="756"/>
      <c r="Z33" s="756"/>
      <c r="AA33" s="756"/>
      <c r="AB33" s="756"/>
      <c r="AC33" s="756" t="s">
        <v>195</v>
      </c>
      <c r="AD33" s="756" t="s">
        <v>196</v>
      </c>
      <c r="AE33" s="756" t="s">
        <v>197</v>
      </c>
      <c r="AF33" s="756" t="s">
        <v>198</v>
      </c>
      <c r="AG33" s="756" t="s">
        <v>199</v>
      </c>
      <c r="AH33" s="756" t="str">
        <f>IF($E$33=0,"",$E$33)</f>
        <v>Тарифы на услуги по передаче тепловой энергии</v>
      </c>
      <c r="AI33" s="756" t="str">
        <f>IF($G$33=0,"",$G$33)</f>
        <v/>
      </c>
      <c r="AJ33" s="756" t="str">
        <f>IF($J$33=0,"",$J$33)</f>
        <v/>
      </c>
      <c r="AK33" s="756" t="str">
        <f>IF($K$33="нет","без дифференциации",IF($N$33=0,"",$N$33))</f>
        <v/>
      </c>
      <c r="AL33" s="756" t="str">
        <f>IF($O$33="нет","без дифференциации",IF($R$33=0,"",$R$33))</f>
        <v/>
      </c>
      <c r="AM33" s="756" t="str">
        <f>IF($S$33="нет","без дифференциации",IF($V$33=0,"",$V$33))</f>
        <v/>
      </c>
      <c r="AN33" s="1004">
        <f>$I$33</f>
        <v>0</v>
      </c>
      <c r="AO33" s="756" t="str">
        <f>$I$33&amp;"."&amp;$M$33</f>
        <v>.</v>
      </c>
      <c r="AP33" s="15" t="str">
        <f>$I$33&amp;"."&amp;$M$33&amp;"."&amp;$Q$33</f>
        <v>..</v>
      </c>
      <c r="AQ33" s="15" t="str">
        <f>$I$33&amp;"."&amp;$M$33&amp;"."&amp;$Q$33&amp;"."&amp;$U$33</f>
        <v>...</v>
      </c>
    </row>
    <row r="34" spans="1:43" s="33" customFormat="1" ht="17.25" hidden="1" customHeight="1">
      <c r="A34" s="191"/>
      <c r="D34" s="1112"/>
      <c r="E34" s="1113"/>
      <c r="F34" s="1116"/>
      <c r="G34" s="1113"/>
      <c r="H34" s="1119"/>
      <c r="I34" s="1121"/>
      <c r="J34" s="1123"/>
      <c r="K34" s="1111"/>
      <c r="L34" s="1111"/>
      <c r="M34" s="1111"/>
      <c r="N34" s="1126"/>
      <c r="O34" s="1111"/>
      <c r="P34" s="1111"/>
      <c r="Q34" s="1111"/>
      <c r="R34" s="1127"/>
      <c r="S34" s="1111"/>
      <c r="T34" s="772"/>
      <c r="U34" s="772"/>
      <c r="V34" s="772"/>
      <c r="W34" s="773"/>
      <c r="X34" s="15"/>
      <c r="Y34" s="15"/>
      <c r="Z34" s="15"/>
      <c r="AA34" s="15"/>
      <c r="AB34" s="15"/>
      <c r="AC34" s="15"/>
      <c r="AD34" s="15"/>
      <c r="AE34" s="15"/>
      <c r="AF34" s="15"/>
      <c r="AG34" s="15"/>
      <c r="AH34" s="15"/>
      <c r="AI34" s="15"/>
      <c r="AJ34" s="15"/>
      <c r="AK34" s="15"/>
      <c r="AL34" s="15"/>
      <c r="AM34" s="15"/>
      <c r="AN34" s="15"/>
      <c r="AO34" s="15"/>
      <c r="AP34" s="15"/>
      <c r="AQ34" s="15"/>
    </row>
    <row r="35" spans="1:43" s="33" customFormat="1" ht="17.25" hidden="1" customHeight="1">
      <c r="A35" s="191"/>
      <c r="D35" s="1094"/>
      <c r="E35" s="1114"/>
      <c r="F35" s="1116"/>
      <c r="G35" s="1114"/>
      <c r="H35" s="1119"/>
      <c r="I35" s="1121"/>
      <c r="J35" s="1124"/>
      <c r="K35" s="1111"/>
      <c r="L35" s="1111"/>
      <c r="M35" s="1111"/>
      <c r="N35" s="1127"/>
      <c r="O35" s="1111"/>
      <c r="P35" s="53"/>
      <c r="Q35" s="772"/>
      <c r="R35" s="772"/>
      <c r="W35" s="773"/>
      <c r="X35" s="15"/>
      <c r="Y35" s="15"/>
      <c r="Z35" s="15"/>
      <c r="AA35" s="15"/>
      <c r="AB35" s="15"/>
      <c r="AC35" s="15"/>
      <c r="AD35" s="15"/>
      <c r="AE35" s="15"/>
      <c r="AF35" s="15"/>
      <c r="AG35" s="15"/>
      <c r="AH35" s="15"/>
      <c r="AI35" s="15"/>
      <c r="AJ35" s="15"/>
      <c r="AK35" s="15"/>
      <c r="AL35" s="15"/>
      <c r="AM35" s="15"/>
      <c r="AN35" s="15"/>
      <c r="AO35" s="15"/>
      <c r="AP35" s="15"/>
      <c r="AQ35" s="15"/>
    </row>
    <row r="36" spans="1:43" s="33" customFormat="1" ht="17.25" hidden="1" customHeight="1">
      <c r="A36" s="191"/>
      <c r="D36" s="1094"/>
      <c r="E36" s="1114"/>
      <c r="F36" s="1116"/>
      <c r="G36" s="1114"/>
      <c r="H36" s="1119"/>
      <c r="I36" s="1121"/>
      <c r="J36" s="1124"/>
      <c r="K36" s="1111"/>
      <c r="L36" s="772"/>
      <c r="M36" s="772"/>
      <c r="N36" s="772"/>
      <c r="O36" s="772"/>
      <c r="P36" s="772"/>
      <c r="Q36" s="772"/>
      <c r="R36" s="772"/>
      <c r="W36" s="773"/>
      <c r="X36" s="15"/>
      <c r="Y36" s="15"/>
      <c r="Z36" s="15"/>
      <c r="AA36" s="15"/>
      <c r="AB36" s="15"/>
      <c r="AC36" s="15"/>
      <c r="AD36" s="15"/>
      <c r="AE36" s="15"/>
      <c r="AF36" s="15"/>
      <c r="AG36" s="15"/>
      <c r="AH36" s="15"/>
      <c r="AI36" s="15"/>
      <c r="AJ36" s="15"/>
      <c r="AK36" s="15"/>
      <c r="AL36" s="15"/>
      <c r="AM36" s="15"/>
      <c r="AN36" s="15"/>
      <c r="AO36" s="15"/>
      <c r="AP36" s="15"/>
      <c r="AQ36" s="15"/>
    </row>
    <row r="37" spans="1:43" s="33" customFormat="1" ht="17.25" hidden="1" customHeight="1">
      <c r="A37" s="191"/>
      <c r="D37" s="1094"/>
      <c r="E37" s="1114"/>
      <c r="F37" s="1117"/>
      <c r="G37" s="1114"/>
      <c r="H37" s="774"/>
      <c r="I37" s="775"/>
      <c r="J37" s="775"/>
      <c r="K37" s="775"/>
      <c r="L37" s="775"/>
      <c r="M37" s="775"/>
      <c r="N37" s="775"/>
      <c r="O37" s="775"/>
      <c r="P37" s="775"/>
      <c r="Q37" s="775"/>
      <c r="R37" s="775"/>
      <c r="S37" s="776"/>
      <c r="T37" s="776"/>
      <c r="U37" s="776"/>
      <c r="V37" s="776"/>
      <c r="W37" s="777"/>
      <c r="X37" s="15"/>
      <c r="Y37" s="15"/>
      <c r="Z37" s="15"/>
      <c r="AA37" s="15"/>
      <c r="AB37" s="15"/>
      <c r="AC37" s="15"/>
      <c r="AD37" s="15"/>
      <c r="AE37" s="15"/>
      <c r="AF37" s="15"/>
      <c r="AG37" s="15"/>
      <c r="AH37" s="15"/>
      <c r="AI37" s="15"/>
      <c r="AJ37" s="15"/>
      <c r="AK37" s="15"/>
      <c r="AL37" s="15"/>
      <c r="AM37" s="15"/>
      <c r="AN37" s="15"/>
      <c r="AO37" s="15"/>
      <c r="AP37" s="15"/>
      <c r="AQ37" s="15"/>
    </row>
    <row r="38" spans="1:43" s="33" customFormat="1" ht="17.25" hidden="1" customHeight="1">
      <c r="A38" s="191"/>
      <c r="C38" s="74"/>
      <c r="D38" s="1112">
        <v>6</v>
      </c>
      <c r="E38" s="1113" t="s">
        <v>200</v>
      </c>
      <c r="F38" s="1115" t="s">
        <v>57</v>
      </c>
      <c r="G38" s="1113"/>
      <c r="H38" s="1118"/>
      <c r="I38" s="1120"/>
      <c r="J38" s="1122"/>
      <c r="K38" s="1110"/>
      <c r="L38" s="1110"/>
      <c r="M38" s="1110"/>
      <c r="N38" s="1125"/>
      <c r="O38" s="1110"/>
      <c r="P38" s="1110"/>
      <c r="Q38" s="1110"/>
      <c r="R38" s="1128"/>
      <c r="S38" s="1110"/>
      <c r="T38" s="828"/>
      <c r="U38" s="828"/>
      <c r="V38" s="827"/>
      <c r="W38" s="771"/>
      <c r="X38" s="756"/>
      <c r="Y38" s="756"/>
      <c r="Z38" s="756"/>
      <c r="AA38" s="756"/>
      <c r="AB38" s="756"/>
      <c r="AC38" s="756" t="s">
        <v>201</v>
      </c>
      <c r="AD38" s="756" t="s">
        <v>202</v>
      </c>
      <c r="AE38" s="756" t="s">
        <v>203</v>
      </c>
      <c r="AF38" s="756" t="s">
        <v>204</v>
      </c>
      <c r="AG38" s="756" t="s">
        <v>205</v>
      </c>
      <c r="AH38" s="756" t="str">
        <f>IF($E$38=0,"",$E$38)</f>
        <v>Тарифы на услуги по передаче теплоносителя</v>
      </c>
      <c r="AI38" s="756" t="str">
        <f>IF($G$38=0,"",$G$38)</f>
        <v/>
      </c>
      <c r="AJ38" s="756" t="str">
        <f>IF($J$38=0,"",$J$38)</f>
        <v/>
      </c>
      <c r="AK38" s="756" t="str">
        <f>IF($K$38="нет","без дифференциации",IF($N$38=0,"",$N$38))</f>
        <v/>
      </c>
      <c r="AL38" s="756" t="str">
        <f>IF($O$38="нет","без дифференциации",IF($R$38=0,"",$R$38))</f>
        <v/>
      </c>
      <c r="AM38" s="756" t="str">
        <f>IF($S$38="нет","без дифференциации",IF($V$38=0,"",$V$38))</f>
        <v/>
      </c>
      <c r="AN38" s="1004">
        <f>$I$38</f>
        <v>0</v>
      </c>
      <c r="AO38" s="756" t="str">
        <f>$I$38&amp;"."&amp;$M$38</f>
        <v>.</v>
      </c>
      <c r="AP38" s="15" t="str">
        <f>$I$38&amp;"."&amp;$M$38&amp;"."&amp;$Q$38</f>
        <v>..</v>
      </c>
      <c r="AQ38" s="15" t="str">
        <f>$I$38&amp;"."&amp;$M$38&amp;"."&amp;$Q$38&amp;"."&amp;$U$38</f>
        <v>...</v>
      </c>
    </row>
    <row r="39" spans="1:43" s="33" customFormat="1" ht="17.25" hidden="1" customHeight="1">
      <c r="A39" s="191"/>
      <c r="D39" s="1112"/>
      <c r="E39" s="1113"/>
      <c r="F39" s="1116"/>
      <c r="G39" s="1113"/>
      <c r="H39" s="1119"/>
      <c r="I39" s="1121"/>
      <c r="J39" s="1123"/>
      <c r="K39" s="1111"/>
      <c r="L39" s="1111"/>
      <c r="M39" s="1111"/>
      <c r="N39" s="1126"/>
      <c r="O39" s="1111"/>
      <c r="P39" s="1111"/>
      <c r="Q39" s="1111"/>
      <c r="R39" s="1127"/>
      <c r="S39" s="1111"/>
      <c r="T39" s="772"/>
      <c r="U39" s="772"/>
      <c r="V39" s="772"/>
      <c r="W39" s="773"/>
      <c r="X39" s="15"/>
      <c r="Y39" s="15"/>
      <c r="Z39" s="15"/>
      <c r="AA39" s="15"/>
      <c r="AB39" s="15"/>
      <c r="AC39" s="15"/>
      <c r="AD39" s="15"/>
      <c r="AE39" s="15"/>
      <c r="AF39" s="15"/>
      <c r="AG39" s="15"/>
      <c r="AH39" s="15"/>
      <c r="AI39" s="15"/>
      <c r="AJ39" s="15"/>
      <c r="AK39" s="15"/>
      <c r="AL39" s="15"/>
      <c r="AM39" s="15"/>
      <c r="AN39" s="15"/>
      <c r="AO39" s="15"/>
      <c r="AP39" s="15"/>
      <c r="AQ39" s="15"/>
    </row>
    <row r="40" spans="1:43" s="33" customFormat="1" ht="17.25" hidden="1" customHeight="1">
      <c r="A40" s="191"/>
      <c r="D40" s="1094"/>
      <c r="E40" s="1114"/>
      <c r="F40" s="1116"/>
      <c r="G40" s="1114"/>
      <c r="H40" s="1119"/>
      <c r="I40" s="1121"/>
      <c r="J40" s="1124"/>
      <c r="K40" s="1111"/>
      <c r="L40" s="1111"/>
      <c r="M40" s="1111"/>
      <c r="N40" s="1127"/>
      <c r="O40" s="1111"/>
      <c r="P40" s="53"/>
      <c r="Q40" s="772"/>
      <c r="R40" s="772"/>
      <c r="W40" s="773"/>
      <c r="X40" s="15"/>
      <c r="Y40" s="15"/>
      <c r="Z40" s="15"/>
      <c r="AA40" s="15"/>
      <c r="AB40" s="15"/>
      <c r="AC40" s="15"/>
      <c r="AD40" s="15"/>
      <c r="AE40" s="15"/>
      <c r="AF40" s="15"/>
      <c r="AG40" s="15"/>
      <c r="AH40" s="15"/>
      <c r="AI40" s="15"/>
      <c r="AJ40" s="15"/>
      <c r="AK40" s="15"/>
      <c r="AL40" s="15"/>
      <c r="AM40" s="15"/>
      <c r="AN40" s="15"/>
      <c r="AO40" s="15"/>
      <c r="AP40" s="15"/>
      <c r="AQ40" s="15"/>
    </row>
    <row r="41" spans="1:43" s="33" customFormat="1" ht="17.25" hidden="1" customHeight="1">
      <c r="A41" s="191"/>
      <c r="C41" s="74"/>
      <c r="D41" s="1094"/>
      <c r="E41" s="1114"/>
      <c r="F41" s="1116"/>
      <c r="G41" s="1114"/>
      <c r="H41" s="1119"/>
      <c r="I41" s="1121"/>
      <c r="J41" s="1124"/>
      <c r="K41" s="1111"/>
      <c r="L41" s="772"/>
      <c r="M41" s="772"/>
      <c r="N41" s="772"/>
      <c r="O41" s="772"/>
      <c r="P41" s="772"/>
      <c r="Q41" s="772"/>
      <c r="R41" s="772"/>
      <c r="W41" s="773"/>
      <c r="Y41" s="756"/>
      <c r="Z41" s="756"/>
      <c r="AA41" s="756"/>
      <c r="AB41" s="756"/>
      <c r="AC41" s="756"/>
      <c r="AD41" s="756"/>
      <c r="AE41" s="756"/>
      <c r="AF41" s="756"/>
      <c r="AG41" s="756"/>
      <c r="AH41" s="756"/>
      <c r="AI41" s="756"/>
      <c r="AJ41" s="756"/>
      <c r="AK41" s="756"/>
      <c r="AL41" s="756"/>
      <c r="AM41" s="756"/>
      <c r="AN41" s="756"/>
      <c r="AO41" s="756"/>
      <c r="AP41" s="756"/>
      <c r="AQ41" s="756"/>
    </row>
    <row r="42" spans="1:43" s="33" customFormat="1" ht="17.25" hidden="1" customHeight="1">
      <c r="A42" s="191"/>
      <c r="D42" s="1094"/>
      <c r="E42" s="1114"/>
      <c r="F42" s="1117"/>
      <c r="G42" s="1114"/>
      <c r="H42" s="774"/>
      <c r="I42" s="775"/>
      <c r="J42" s="775"/>
      <c r="K42" s="775"/>
      <c r="L42" s="775"/>
      <c r="M42" s="775"/>
      <c r="N42" s="775"/>
      <c r="O42" s="775"/>
      <c r="P42" s="775"/>
      <c r="Q42" s="775"/>
      <c r="R42" s="775"/>
      <c r="S42" s="776"/>
      <c r="T42" s="776"/>
      <c r="U42" s="776"/>
      <c r="V42" s="776"/>
      <c r="W42" s="777"/>
      <c r="X42" s="15"/>
      <c r="Y42" s="15"/>
      <c r="Z42" s="15"/>
      <c r="AA42" s="15"/>
      <c r="AB42" s="15"/>
      <c r="AC42" s="15"/>
      <c r="AD42" s="15"/>
      <c r="AE42" s="15"/>
      <c r="AF42" s="15"/>
      <c r="AG42" s="15"/>
      <c r="AH42" s="15"/>
      <c r="AI42" s="15"/>
      <c r="AJ42" s="15"/>
      <c r="AK42" s="15"/>
      <c r="AL42" s="15"/>
      <c r="AM42" s="15"/>
      <c r="AN42" s="15"/>
      <c r="AO42" s="15"/>
      <c r="AP42" s="15"/>
      <c r="AQ42" s="15"/>
    </row>
    <row r="43" spans="1:43" s="33" customFormat="1" ht="17.25" hidden="1" customHeight="1">
      <c r="A43" s="191"/>
      <c r="C43" s="74"/>
      <c r="D43" s="1132">
        <v>7</v>
      </c>
      <c r="E43" s="1135" t="s">
        <v>206</v>
      </c>
      <c r="F43" s="1115" t="s">
        <v>57</v>
      </c>
      <c r="G43" s="1135"/>
      <c r="H43" s="1118"/>
      <c r="I43" s="1120"/>
      <c r="J43" s="1122"/>
      <c r="K43" s="1110"/>
      <c r="L43" s="1110"/>
      <c r="M43" s="1110"/>
      <c r="N43" s="1125"/>
      <c r="O43" s="1110"/>
      <c r="P43" s="1110"/>
      <c r="Q43" s="1110"/>
      <c r="R43" s="1128"/>
      <c r="S43" s="1110"/>
      <c r="T43" s="828"/>
      <c r="U43" s="828"/>
      <c r="V43" s="827"/>
      <c r="W43" s="771"/>
      <c r="X43" s="756"/>
      <c r="Y43" s="756"/>
      <c r="Z43" s="756"/>
      <c r="AA43" s="756"/>
      <c r="AB43" s="756"/>
      <c r="AC43" s="756" t="s">
        <v>207</v>
      </c>
      <c r="AD43" s="756" t="s">
        <v>208</v>
      </c>
      <c r="AE43" s="756" t="s">
        <v>209</v>
      </c>
      <c r="AF43" s="756" t="s">
        <v>210</v>
      </c>
      <c r="AG43" s="756" t="s">
        <v>211</v>
      </c>
      <c r="AH43" s="756" t="str">
        <f>IF($E$43=0,"",$E$43)</f>
        <v>Плата за услуги по поддержанию резервной тепловой мощности при отсутствии потребления тепловой энергии</v>
      </c>
      <c r="AI43" s="756" t="str">
        <f>IF($G$43=0,"",$G$43)</f>
        <v/>
      </c>
      <c r="AJ43" s="756" t="str">
        <f>IF($J$43=0,"",$J$43)</f>
        <v/>
      </c>
      <c r="AK43" s="756" t="str">
        <f>IF($K$43="нет","без дифференциации",IF($N$43=0,"",$N$43))</f>
        <v/>
      </c>
      <c r="AL43" s="756" t="str">
        <f>IF($O$43="нет","без дифференциации",IF($R$43=0,"",$R$43))</f>
        <v/>
      </c>
      <c r="AM43" s="756" t="str">
        <f>IF($S$43="нет","без дифференциации",IF($V$43=0,"",$V$43))</f>
        <v/>
      </c>
      <c r="AN43" s="1004">
        <f>$I$43</f>
        <v>0</v>
      </c>
      <c r="AO43" s="756" t="str">
        <f>$I$43&amp;"."&amp;$M$43</f>
        <v>.</v>
      </c>
      <c r="AP43" s="15" t="str">
        <f>$I$43&amp;"."&amp;$M$43&amp;"."&amp;$Q$43</f>
        <v>..</v>
      </c>
      <c r="AQ43" s="15" t="str">
        <f>$I$43&amp;"."&amp;$M$43&amp;"."&amp;$Q$43&amp;"."&amp;$U$43</f>
        <v>...</v>
      </c>
    </row>
    <row r="44" spans="1:43" s="33" customFormat="1" ht="17.25" hidden="1" customHeight="1">
      <c r="A44" s="191"/>
      <c r="D44" s="1133"/>
      <c r="E44" s="1136"/>
      <c r="F44" s="1116"/>
      <c r="G44" s="1136"/>
      <c r="H44" s="1119"/>
      <c r="I44" s="1121"/>
      <c r="J44" s="1123"/>
      <c r="K44" s="1111"/>
      <c r="L44" s="1111"/>
      <c r="M44" s="1111"/>
      <c r="N44" s="1126"/>
      <c r="O44" s="1111"/>
      <c r="P44" s="1111"/>
      <c r="Q44" s="1111"/>
      <c r="R44" s="1127"/>
      <c r="S44" s="1111"/>
      <c r="T44" s="772"/>
      <c r="U44" s="772"/>
      <c r="V44" s="772"/>
      <c r="W44" s="773"/>
      <c r="X44" s="15"/>
      <c r="Y44" s="15"/>
      <c r="Z44" s="15"/>
      <c r="AA44" s="15"/>
      <c r="AB44" s="15"/>
      <c r="AC44" s="15"/>
      <c r="AD44" s="15"/>
      <c r="AE44" s="15"/>
      <c r="AF44" s="15"/>
      <c r="AG44" s="15"/>
      <c r="AH44" s="15"/>
      <c r="AI44" s="15"/>
      <c r="AJ44" s="15"/>
      <c r="AK44" s="15"/>
      <c r="AL44" s="15"/>
      <c r="AM44" s="15"/>
      <c r="AN44" s="15"/>
      <c r="AO44" s="15"/>
      <c r="AP44" s="15"/>
      <c r="AQ44" s="15"/>
    </row>
    <row r="45" spans="1:43" s="33" customFormat="1" ht="17.25" hidden="1" customHeight="1">
      <c r="A45" s="191"/>
      <c r="D45" s="1133"/>
      <c r="E45" s="1136"/>
      <c r="F45" s="1116"/>
      <c r="G45" s="1136"/>
      <c r="H45" s="1119"/>
      <c r="I45" s="1121"/>
      <c r="J45" s="1124"/>
      <c r="K45" s="1111"/>
      <c r="L45" s="1111"/>
      <c r="M45" s="1111"/>
      <c r="N45" s="1127"/>
      <c r="O45" s="1111"/>
      <c r="P45" s="53"/>
      <c r="Q45" s="772"/>
      <c r="R45" s="772"/>
      <c r="W45" s="773"/>
      <c r="X45" s="15"/>
      <c r="Y45" s="15"/>
      <c r="Z45" s="15"/>
      <c r="AA45" s="15"/>
      <c r="AB45" s="15"/>
      <c r="AC45" s="15"/>
      <c r="AD45" s="15"/>
      <c r="AE45" s="15"/>
      <c r="AF45" s="15"/>
      <c r="AG45" s="15"/>
      <c r="AH45" s="15"/>
      <c r="AI45" s="15"/>
      <c r="AJ45" s="15"/>
      <c r="AK45" s="15"/>
      <c r="AL45" s="15"/>
      <c r="AM45" s="15"/>
      <c r="AN45" s="15"/>
      <c r="AO45" s="15"/>
      <c r="AP45" s="15"/>
      <c r="AQ45" s="15"/>
    </row>
    <row r="46" spans="1:43" s="33" customFormat="1" ht="17.25" hidden="1" customHeight="1">
      <c r="A46" s="191"/>
      <c r="C46" s="74"/>
      <c r="D46" s="1133"/>
      <c r="E46" s="1136"/>
      <c r="F46" s="1116"/>
      <c r="G46" s="1136"/>
      <c r="H46" s="1119"/>
      <c r="I46" s="1121"/>
      <c r="J46" s="1124"/>
      <c r="K46" s="1111"/>
      <c r="L46" s="772"/>
      <c r="M46" s="772"/>
      <c r="N46" s="772"/>
      <c r="O46" s="772"/>
      <c r="P46" s="772"/>
      <c r="Q46" s="772"/>
      <c r="R46" s="772"/>
      <c r="W46" s="773"/>
      <c r="Y46" s="756"/>
      <c r="Z46" s="756"/>
      <c r="AA46" s="756"/>
      <c r="AB46" s="756"/>
      <c r="AC46" s="756"/>
      <c r="AD46" s="756"/>
      <c r="AE46" s="756"/>
      <c r="AF46" s="756"/>
      <c r="AG46" s="756"/>
      <c r="AH46" s="756"/>
      <c r="AI46" s="756"/>
      <c r="AJ46" s="756"/>
      <c r="AK46" s="756"/>
      <c r="AL46" s="756"/>
      <c r="AM46" s="756"/>
      <c r="AN46" s="756"/>
      <c r="AO46" s="756"/>
      <c r="AP46" s="756"/>
      <c r="AQ46" s="756"/>
    </row>
    <row r="47" spans="1:43" s="33" customFormat="1" ht="17.25" hidden="1" customHeight="1">
      <c r="A47" s="191"/>
      <c r="D47" s="1134"/>
      <c r="E47" s="1137"/>
      <c r="F47" s="1117"/>
      <c r="G47" s="1137"/>
      <c r="H47" s="774"/>
      <c r="I47" s="775"/>
      <c r="J47" s="775"/>
      <c r="K47" s="775"/>
      <c r="L47" s="775"/>
      <c r="M47" s="775"/>
      <c r="N47" s="775"/>
      <c r="O47" s="775"/>
      <c r="P47" s="775"/>
      <c r="Q47" s="775"/>
      <c r="R47" s="775"/>
      <c r="S47" s="776"/>
      <c r="T47" s="776"/>
      <c r="U47" s="776"/>
      <c r="V47" s="776"/>
      <c r="W47" s="777"/>
      <c r="X47" s="15"/>
      <c r="Y47" s="15"/>
      <c r="Z47" s="15"/>
      <c r="AA47" s="15"/>
      <c r="AB47" s="15"/>
      <c r="AC47" s="15"/>
      <c r="AD47" s="15"/>
      <c r="AE47" s="15"/>
      <c r="AF47" s="15"/>
      <c r="AG47" s="15"/>
      <c r="AH47" s="15"/>
      <c r="AI47" s="15"/>
      <c r="AJ47" s="15"/>
      <c r="AK47" s="15"/>
      <c r="AL47" s="15"/>
      <c r="AM47" s="15"/>
      <c r="AN47" s="15"/>
      <c r="AO47" s="15"/>
      <c r="AP47" s="15"/>
      <c r="AQ47" s="15"/>
    </row>
    <row r="48" spans="1:43" s="33" customFormat="1" ht="17.25" hidden="1" customHeight="1">
      <c r="A48" s="191"/>
      <c r="C48" s="74"/>
      <c r="D48" s="1112">
        <v>8</v>
      </c>
      <c r="E48" s="1113" t="s">
        <v>212</v>
      </c>
      <c r="F48" s="1115" t="s">
        <v>57</v>
      </c>
      <c r="G48" s="1113"/>
      <c r="H48" s="1118"/>
      <c r="I48" s="1120"/>
      <c r="J48" s="1122"/>
      <c r="K48" s="1110"/>
      <c r="L48" s="1110"/>
      <c r="M48" s="1110"/>
      <c r="N48" s="1125"/>
      <c r="O48" s="1110"/>
      <c r="P48" s="1110"/>
      <c r="Q48" s="1110"/>
      <c r="R48" s="1128"/>
      <c r="S48" s="1110"/>
      <c r="T48" s="828"/>
      <c r="U48" s="828"/>
      <c r="V48" s="827"/>
      <c r="W48" s="771"/>
      <c r="X48" s="756"/>
      <c r="Y48" s="756"/>
      <c r="Z48" s="756"/>
      <c r="AA48" s="756"/>
      <c r="AB48" s="756"/>
      <c r="AC48" s="756" t="s">
        <v>213</v>
      </c>
      <c r="AD48" s="756" t="s">
        <v>214</v>
      </c>
      <c r="AE48" s="756" t="s">
        <v>215</v>
      </c>
      <c r="AF48" s="756" t="s">
        <v>216</v>
      </c>
      <c r="AG48" s="756" t="s">
        <v>217</v>
      </c>
      <c r="AH48" s="756" t="str">
        <f>IF($E$48=0,"",$E$48)</f>
        <v>Плата за подключение (технологическое присоединение) к системе теплоснабжения</v>
      </c>
      <c r="AI48" s="756" t="str">
        <f>IF($G$48=0,"",$G$48)</f>
        <v/>
      </c>
      <c r="AJ48" s="756" t="str">
        <f>IF($J$48=0,"",$J$48)</f>
        <v/>
      </c>
      <c r="AK48" s="756" t="str">
        <f>IF($K$48="нет","без дифференциации",IF($N$48=0,"",$N$48))</f>
        <v/>
      </c>
      <c r="AL48" s="756" t="str">
        <f>IF($O$48="нет","без дифференциации",IF($R$48=0,"",$R$48))</f>
        <v/>
      </c>
      <c r="AM48" s="756" t="str">
        <f>IF($S$48="нет","без дифференциации",IF($V$48=0,"",$V$48))</f>
        <v/>
      </c>
      <c r="AN48" s="1004">
        <f>$I$48</f>
        <v>0</v>
      </c>
      <c r="AO48" s="756" t="str">
        <f>$I$48&amp;"."&amp;$M$48</f>
        <v>.</v>
      </c>
      <c r="AP48" s="15" t="str">
        <f>$I$48&amp;"."&amp;$M$48&amp;"."&amp;$Q$48</f>
        <v>..</v>
      </c>
      <c r="AQ48" s="15" t="str">
        <f>$I$48&amp;"."&amp;$M$48&amp;"."&amp;$Q$48&amp;"."&amp;$U$48</f>
        <v>...</v>
      </c>
    </row>
    <row r="49" spans="1:43" s="33" customFormat="1" ht="17.25" hidden="1" customHeight="1">
      <c r="A49" s="191"/>
      <c r="D49" s="1112"/>
      <c r="E49" s="1113"/>
      <c r="F49" s="1116"/>
      <c r="G49" s="1113"/>
      <c r="H49" s="1119"/>
      <c r="I49" s="1121"/>
      <c r="J49" s="1123"/>
      <c r="K49" s="1111"/>
      <c r="L49" s="1111"/>
      <c r="M49" s="1111"/>
      <c r="N49" s="1126"/>
      <c r="O49" s="1111"/>
      <c r="P49" s="1111"/>
      <c r="Q49" s="1111"/>
      <c r="R49" s="1127"/>
      <c r="S49" s="1111"/>
      <c r="T49" s="772"/>
      <c r="U49" s="772"/>
      <c r="V49" s="772"/>
      <c r="W49" s="773"/>
      <c r="X49" s="15"/>
      <c r="Y49" s="15"/>
      <c r="Z49" s="15"/>
      <c r="AA49" s="15"/>
      <c r="AB49" s="15"/>
      <c r="AC49" s="15"/>
      <c r="AD49" s="15"/>
      <c r="AE49" s="15"/>
      <c r="AF49" s="15"/>
      <c r="AG49" s="15"/>
      <c r="AH49" s="15"/>
      <c r="AI49" s="15"/>
      <c r="AJ49" s="15"/>
      <c r="AK49" s="15"/>
      <c r="AL49" s="15"/>
      <c r="AM49" s="15"/>
      <c r="AN49" s="15"/>
      <c r="AO49" s="15"/>
      <c r="AP49" s="15"/>
      <c r="AQ49" s="15"/>
    </row>
    <row r="50" spans="1:43" s="33" customFormat="1" ht="17.25" hidden="1" customHeight="1">
      <c r="A50" s="191"/>
      <c r="D50" s="1094"/>
      <c r="E50" s="1114"/>
      <c r="F50" s="1116"/>
      <c r="G50" s="1114"/>
      <c r="H50" s="1119"/>
      <c r="I50" s="1121"/>
      <c r="J50" s="1124"/>
      <c r="K50" s="1111"/>
      <c r="L50" s="1111"/>
      <c r="M50" s="1111"/>
      <c r="N50" s="1127"/>
      <c r="O50" s="1111"/>
      <c r="P50" s="53"/>
      <c r="Q50" s="772"/>
      <c r="R50" s="772"/>
      <c r="W50" s="773"/>
      <c r="X50" s="15"/>
      <c r="Y50" s="15"/>
      <c r="Z50" s="15"/>
      <c r="AA50" s="15"/>
      <c r="AB50" s="15"/>
      <c r="AC50" s="15"/>
      <c r="AD50" s="15"/>
      <c r="AE50" s="15"/>
      <c r="AF50" s="15"/>
      <c r="AG50" s="15"/>
      <c r="AH50" s="15"/>
      <c r="AI50" s="15"/>
      <c r="AJ50" s="15"/>
      <c r="AK50" s="15"/>
      <c r="AL50" s="15"/>
      <c r="AM50" s="15"/>
      <c r="AN50" s="15"/>
      <c r="AO50" s="15"/>
      <c r="AP50" s="15"/>
      <c r="AQ50" s="15"/>
    </row>
    <row r="51" spans="1:43" s="33" customFormat="1" ht="17.25" hidden="1" customHeight="1">
      <c r="A51" s="191"/>
      <c r="C51" s="74"/>
      <c r="D51" s="1094"/>
      <c r="E51" s="1114"/>
      <c r="F51" s="1116"/>
      <c r="G51" s="1114"/>
      <c r="H51" s="1119"/>
      <c r="I51" s="1121"/>
      <c r="J51" s="1124"/>
      <c r="K51" s="1111"/>
      <c r="L51" s="772"/>
      <c r="M51" s="772"/>
      <c r="N51" s="772"/>
      <c r="O51" s="772"/>
      <c r="P51" s="772"/>
      <c r="Q51" s="772"/>
      <c r="R51" s="772"/>
      <c r="W51" s="773"/>
      <c r="Y51" s="756"/>
      <c r="Z51" s="756"/>
      <c r="AA51" s="756"/>
      <c r="AB51" s="756"/>
      <c r="AC51" s="756"/>
      <c r="AD51" s="756"/>
      <c r="AE51" s="756"/>
      <c r="AF51" s="756"/>
      <c r="AG51" s="756"/>
      <c r="AH51" s="756"/>
      <c r="AI51" s="756"/>
      <c r="AJ51" s="756"/>
      <c r="AK51" s="756"/>
      <c r="AL51" s="756"/>
      <c r="AM51" s="756"/>
      <c r="AN51" s="756"/>
      <c r="AO51" s="756"/>
      <c r="AP51" s="756"/>
      <c r="AQ51" s="756"/>
    </row>
    <row r="52" spans="1:43" s="33" customFormat="1" ht="17.25" hidden="1" customHeight="1">
      <c r="A52" s="191"/>
      <c r="D52" s="1094"/>
      <c r="E52" s="1114"/>
      <c r="F52" s="1117"/>
      <c r="G52" s="1114"/>
      <c r="H52" s="774"/>
      <c r="I52" s="775"/>
      <c r="J52" s="775"/>
      <c r="K52" s="775"/>
      <c r="L52" s="775"/>
      <c r="M52" s="775"/>
      <c r="N52" s="775"/>
      <c r="O52" s="775"/>
      <c r="P52" s="775"/>
      <c r="Q52" s="775"/>
      <c r="R52" s="775"/>
      <c r="S52" s="776"/>
      <c r="T52" s="776"/>
      <c r="U52" s="776"/>
      <c r="V52" s="776"/>
      <c r="W52" s="777"/>
      <c r="X52" s="15"/>
      <c r="Y52" s="15"/>
      <c r="Z52" s="15"/>
      <c r="AA52" s="15"/>
      <c r="AB52" s="15"/>
      <c r="AC52" s="15"/>
      <c r="AD52" s="15"/>
      <c r="AE52" s="15"/>
      <c r="AF52" s="15"/>
      <c r="AG52" s="15"/>
      <c r="AH52" s="15"/>
      <c r="AI52" s="15"/>
      <c r="AJ52" s="15"/>
      <c r="AK52" s="15"/>
      <c r="AL52" s="15"/>
      <c r="AM52" s="15"/>
      <c r="AN52" s="15"/>
      <c r="AO52" s="15"/>
      <c r="AP52" s="15"/>
      <c r="AQ52" s="15"/>
    </row>
    <row r="53" spans="1:43" ht="11.25" hidden="1" customHeight="1"/>
    <row r="54" spans="1:43" ht="11.25" hidden="1" customHeight="1">
      <c r="E54" s="1131" t="s">
        <v>218</v>
      </c>
      <c r="F54" s="1131"/>
      <c r="G54" s="1131"/>
      <c r="H54" s="1131"/>
      <c r="I54" s="1131"/>
      <c r="J54" s="1131"/>
      <c r="K54" s="1131"/>
      <c r="L54" s="1131"/>
      <c r="M54" s="1131"/>
      <c r="N54" s="1131"/>
      <c r="O54" s="1131"/>
      <c r="P54" s="1131"/>
      <c r="Q54" s="1131"/>
      <c r="R54" s="1131"/>
      <c r="S54" s="1131"/>
      <c r="T54" s="1131"/>
      <c r="U54" s="1131"/>
      <c r="V54" s="1131"/>
      <c r="W54" s="1131"/>
    </row>
    <row r="55" spans="1:43" ht="36.75" hidden="1" customHeight="1">
      <c r="E55" s="1129" t="s">
        <v>219</v>
      </c>
      <c r="F55" s="1129"/>
      <c r="G55" s="1130"/>
      <c r="H55" s="1130"/>
      <c r="I55" s="1130"/>
      <c r="J55" s="1130"/>
      <c r="K55" s="1130"/>
      <c r="L55" s="1130"/>
      <c r="M55" s="1130"/>
      <c r="N55" s="1130"/>
      <c r="O55" s="1130"/>
      <c r="P55" s="1130"/>
      <c r="Q55" s="1130"/>
      <c r="R55" s="1130"/>
      <c r="S55" s="1130"/>
      <c r="T55" s="1130"/>
      <c r="U55" s="1130"/>
      <c r="V55" s="1130"/>
      <c r="W55" s="1130"/>
    </row>
    <row r="56" spans="1:43" ht="28.5" hidden="1" customHeight="1">
      <c r="E56" s="1129" t="s">
        <v>220</v>
      </c>
      <c r="F56" s="1129"/>
      <c r="G56" s="1130"/>
      <c r="H56" s="1130"/>
      <c r="I56" s="1130"/>
      <c r="J56" s="1130"/>
      <c r="K56" s="1130"/>
      <c r="L56" s="1130"/>
      <c r="M56" s="1130"/>
      <c r="N56" s="1130"/>
      <c r="O56" s="1130"/>
      <c r="P56" s="1130"/>
      <c r="Q56" s="1130"/>
      <c r="R56" s="1130"/>
      <c r="S56" s="1130"/>
      <c r="T56" s="1130"/>
      <c r="U56" s="1130"/>
      <c r="V56" s="1130"/>
      <c r="W56" s="1130"/>
    </row>
    <row r="57" spans="1:43" ht="27" hidden="1" customHeight="1">
      <c r="E57" s="1129" t="s">
        <v>221</v>
      </c>
      <c r="F57" s="1129"/>
      <c r="G57" s="1130"/>
      <c r="H57" s="1130"/>
      <c r="I57" s="1130"/>
      <c r="J57" s="1130"/>
      <c r="K57" s="1130"/>
      <c r="L57" s="1130"/>
      <c r="M57" s="1130"/>
      <c r="N57" s="1130"/>
      <c r="O57" s="1130"/>
      <c r="P57" s="1130"/>
      <c r="Q57" s="1130"/>
      <c r="R57" s="1130"/>
      <c r="S57" s="1130"/>
      <c r="T57" s="1130"/>
      <c r="U57" s="1130"/>
      <c r="V57" s="1130"/>
      <c r="W57" s="1130"/>
    </row>
    <row r="58" spans="1:43" ht="17.25" hidden="1" customHeight="1">
      <c r="E58" s="1129" t="s">
        <v>222</v>
      </c>
      <c r="F58" s="1129"/>
      <c r="G58" s="1130"/>
      <c r="H58" s="1130"/>
      <c r="I58" s="1130"/>
      <c r="J58" s="1130"/>
      <c r="K58" s="1130"/>
      <c r="L58" s="1130"/>
      <c r="M58" s="1130"/>
      <c r="N58" s="1130"/>
      <c r="O58" s="1130"/>
      <c r="P58" s="1130"/>
      <c r="Q58" s="1130"/>
      <c r="R58" s="1130"/>
      <c r="S58" s="1130"/>
      <c r="T58" s="1130"/>
      <c r="U58" s="1130"/>
      <c r="V58" s="1130"/>
      <c r="W58" s="1130"/>
    </row>
    <row r="59" spans="1:43" ht="15" hidden="1" customHeight="1">
      <c r="E59" s="206"/>
      <c r="F59" s="206"/>
      <c r="G59" s="68"/>
      <c r="H59" s="68"/>
      <c r="I59" s="68"/>
      <c r="J59" s="68"/>
      <c r="K59" s="68"/>
      <c r="L59" s="68"/>
      <c r="M59" s="68"/>
      <c r="N59" s="68"/>
      <c r="O59" s="68"/>
      <c r="P59" s="68"/>
      <c r="Q59" s="68"/>
      <c r="R59" s="68"/>
      <c r="S59" s="68"/>
      <c r="T59" s="68"/>
      <c r="U59" s="68"/>
      <c r="V59" s="68"/>
      <c r="W59" s="68"/>
    </row>
    <row r="60" spans="1:43" ht="15" hidden="1" customHeight="1">
      <c r="E60" s="1131" t="s">
        <v>223</v>
      </c>
      <c r="F60" s="1131"/>
      <c r="G60" s="1131"/>
      <c r="H60" s="1131"/>
      <c r="I60" s="1131"/>
      <c r="J60" s="1131"/>
      <c r="K60" s="1131"/>
      <c r="L60" s="1131"/>
      <c r="M60" s="1131"/>
      <c r="N60" s="1131"/>
      <c r="O60" s="1131"/>
      <c r="P60" s="1131"/>
      <c r="Q60" s="1131"/>
      <c r="R60" s="1131"/>
      <c r="S60" s="1131"/>
      <c r="T60" s="1131"/>
      <c r="U60" s="1131"/>
      <c r="V60" s="1131"/>
      <c r="W60" s="1131"/>
    </row>
    <row r="61" spans="1:43" ht="17.25" hidden="1" customHeight="1">
      <c r="E61" s="1129" t="s">
        <v>224</v>
      </c>
      <c r="F61" s="1129"/>
      <c r="G61" s="1130"/>
      <c r="H61" s="1130"/>
      <c r="I61" s="1130"/>
      <c r="J61" s="1130"/>
      <c r="K61" s="1130"/>
      <c r="L61" s="1130"/>
      <c r="M61" s="1130"/>
      <c r="N61" s="1130"/>
      <c r="O61" s="1130"/>
      <c r="P61" s="1130"/>
      <c r="Q61" s="1130"/>
      <c r="R61" s="1130"/>
      <c r="S61" s="1130"/>
      <c r="T61" s="1130"/>
      <c r="U61" s="1130"/>
      <c r="V61" s="1130"/>
      <c r="W61" s="1130"/>
    </row>
    <row r="62" spans="1:43" ht="17.25" hidden="1" customHeight="1">
      <c r="E62" s="1129" t="s">
        <v>225</v>
      </c>
      <c r="F62" s="1129"/>
      <c r="G62" s="1130"/>
      <c r="H62" s="1130"/>
      <c r="I62" s="1130"/>
      <c r="J62" s="1130"/>
      <c r="K62" s="1130"/>
      <c r="L62" s="1130"/>
      <c r="M62" s="1130"/>
      <c r="N62" s="1130"/>
      <c r="O62" s="1130"/>
      <c r="P62" s="1130"/>
      <c r="Q62" s="1130"/>
      <c r="R62" s="1130"/>
      <c r="S62" s="1130"/>
      <c r="T62" s="1130"/>
      <c r="U62" s="1130"/>
      <c r="V62" s="1130"/>
      <c r="W62" s="1130"/>
    </row>
    <row r="63" spans="1:43" s="33" customFormat="1" ht="11.25" customHeight="1">
      <c r="A63" s="66"/>
      <c r="B63" s="66"/>
      <c r="Y63" s="15"/>
      <c r="Z63" s="15"/>
      <c r="AA63" s="15"/>
      <c r="AB63" s="15"/>
      <c r="AC63" s="15"/>
      <c r="AD63" s="15"/>
      <c r="AE63" s="15"/>
      <c r="AF63" s="15"/>
      <c r="AG63" s="15"/>
      <c r="AH63" s="15"/>
      <c r="AI63" s="15"/>
      <c r="AJ63" s="15"/>
      <c r="AK63" s="15"/>
      <c r="AL63" s="15"/>
      <c r="AM63" s="15"/>
      <c r="AN63" s="15"/>
      <c r="AO63" s="15"/>
      <c r="AP63" s="15"/>
      <c r="AQ63" s="15"/>
    </row>
    <row r="64" spans="1:43" s="33" customFormat="1" ht="17.25" hidden="1" customHeight="1">
      <c r="A64" s="191"/>
      <c r="C64" s="74"/>
      <c r="D64" s="1112">
        <v>1</v>
      </c>
      <c r="E64" s="1113" t="s">
        <v>226</v>
      </c>
      <c r="F64" s="1115" t="s">
        <v>57</v>
      </c>
      <c r="G64" s="1113"/>
      <c r="H64" s="1118"/>
      <c r="I64" s="1120"/>
      <c r="J64" s="1122"/>
      <c r="K64" s="1110"/>
      <c r="L64" s="1110"/>
      <c r="M64" s="1110"/>
      <c r="N64" s="1125"/>
      <c r="O64" s="1110"/>
      <c r="P64" s="1110"/>
      <c r="Q64" s="1110"/>
      <c r="R64" s="1128"/>
      <c r="S64" s="1110"/>
      <c r="T64" s="828"/>
      <c r="U64" s="828"/>
      <c r="V64" s="827"/>
      <c r="W64" s="771"/>
      <c r="Y64" s="756"/>
      <c r="Z64" s="756"/>
      <c r="AA64" s="756"/>
      <c r="AB64" s="756"/>
      <c r="AC64" s="756" t="s">
        <v>227</v>
      </c>
      <c r="AD64" s="756" t="s">
        <v>228</v>
      </c>
      <c r="AE64" s="756" t="s">
        <v>229</v>
      </c>
      <c r="AF64" s="756" t="s">
        <v>230</v>
      </c>
      <c r="AG64" s="756"/>
      <c r="AH64" s="756" t="str">
        <f>IF($E$64=0,"",$E$64)</f>
        <v>Тариф на питьевую воду (питьевое водоснабжение)</v>
      </c>
      <c r="AI64" s="756" t="str">
        <f>IF($G$64=0,"",$G$64)</f>
        <v/>
      </c>
      <c r="AJ64" s="756" t="str">
        <f>IF($J$64=0,"",$J$64)</f>
        <v/>
      </c>
      <c r="AK64" s="756" t="str">
        <f>IF($K$64="нет","без дифференциации",IF($N$64=0,"",$N$64))</f>
        <v/>
      </c>
      <c r="AL64" s="756" t="str">
        <f>IF($O$64="нет","без дифференциации",IF($R$64=0,"",$R$64))</f>
        <v/>
      </c>
      <c r="AM64" s="756" t="str">
        <f>IF($S$64="нет","без дифференциации",IF($V$64=0,"",$V$64))</f>
        <v/>
      </c>
      <c r="AN64" s="756">
        <f>$I$64</f>
        <v>0</v>
      </c>
      <c r="AO64" s="756" t="str">
        <f>$I$64&amp;"."&amp;$M$64</f>
        <v>.</v>
      </c>
      <c r="AP64" s="756" t="str">
        <f>$I$64&amp;"."&amp;$M$64&amp;"."&amp;$Q$64</f>
        <v>..</v>
      </c>
      <c r="AQ64" s="756" t="str">
        <f>$I$64&amp;"."&amp;$M$64&amp;"."&amp;$Q$64&amp;"."&amp;$U$64</f>
        <v>...</v>
      </c>
    </row>
    <row r="65" spans="1:43" s="33" customFormat="1" ht="17.25" hidden="1" customHeight="1">
      <c r="A65" s="191"/>
      <c r="D65" s="1112"/>
      <c r="E65" s="1113"/>
      <c r="F65" s="1116"/>
      <c r="G65" s="1113"/>
      <c r="H65" s="1119"/>
      <c r="I65" s="1121"/>
      <c r="J65" s="1123"/>
      <c r="K65" s="1111"/>
      <c r="L65" s="1111"/>
      <c r="M65" s="1111"/>
      <c r="N65" s="1126"/>
      <c r="O65" s="1111"/>
      <c r="P65" s="1111"/>
      <c r="Q65" s="1111"/>
      <c r="R65" s="1127"/>
      <c r="S65" s="1111"/>
      <c r="T65" s="772"/>
      <c r="U65" s="772"/>
      <c r="V65" s="772"/>
      <c r="W65" s="773"/>
      <c r="Y65" s="15"/>
      <c r="Z65" s="15"/>
      <c r="AA65" s="15"/>
      <c r="AB65" s="15"/>
      <c r="AC65" s="15"/>
      <c r="AD65" s="15"/>
      <c r="AE65" s="15"/>
      <c r="AF65" s="15"/>
      <c r="AG65" s="15"/>
      <c r="AH65" s="15"/>
      <c r="AI65" s="15"/>
      <c r="AJ65" s="15"/>
      <c r="AK65" s="15"/>
      <c r="AL65" s="15"/>
      <c r="AM65" s="15"/>
      <c r="AN65" s="15"/>
      <c r="AO65" s="15"/>
      <c r="AP65" s="15"/>
      <c r="AQ65" s="15"/>
    </row>
    <row r="66" spans="1:43" s="33" customFormat="1" ht="17.25" hidden="1" customHeight="1">
      <c r="A66" s="191"/>
      <c r="C66" s="74"/>
      <c r="D66" s="1112"/>
      <c r="E66" s="1113"/>
      <c r="F66" s="1116"/>
      <c r="G66" s="1113"/>
      <c r="H66" s="1119"/>
      <c r="I66" s="1121"/>
      <c r="J66" s="1124"/>
      <c r="K66" s="1111"/>
      <c r="L66" s="1111"/>
      <c r="M66" s="1111"/>
      <c r="N66" s="1127"/>
      <c r="O66" s="1111"/>
      <c r="P66" s="53"/>
      <c r="Q66" s="772"/>
      <c r="R66" s="772"/>
      <c r="W66" s="773"/>
      <c r="Y66" s="756"/>
      <c r="Z66" s="756"/>
      <c r="AA66" s="756"/>
      <c r="AB66" s="756"/>
      <c r="AC66" s="756"/>
      <c r="AD66" s="756"/>
      <c r="AE66" s="756"/>
      <c r="AF66" s="756"/>
      <c r="AG66" s="756"/>
      <c r="AH66" s="756"/>
      <c r="AI66" s="756"/>
      <c r="AJ66" s="756"/>
      <c r="AK66" s="756"/>
      <c r="AL66" s="756"/>
      <c r="AM66" s="756"/>
      <c r="AN66" s="756"/>
      <c r="AO66" s="756"/>
      <c r="AP66" s="756"/>
      <c r="AQ66" s="756"/>
    </row>
    <row r="67" spans="1:43" s="33" customFormat="1" ht="17.25" hidden="1" customHeight="1">
      <c r="A67" s="191"/>
      <c r="D67" s="1112"/>
      <c r="E67" s="1113"/>
      <c r="F67" s="1116"/>
      <c r="G67" s="1113"/>
      <c r="H67" s="1119"/>
      <c r="I67" s="1121"/>
      <c r="J67" s="1124"/>
      <c r="K67" s="1111"/>
      <c r="L67" s="772"/>
      <c r="M67" s="772"/>
      <c r="N67" s="772"/>
      <c r="O67" s="772"/>
      <c r="P67" s="772"/>
      <c r="Q67" s="772"/>
      <c r="R67" s="772"/>
      <c r="W67" s="773"/>
      <c r="Y67" s="15"/>
      <c r="Z67" s="15"/>
      <c r="AA67" s="15"/>
      <c r="AB67" s="15"/>
      <c r="AC67" s="15"/>
      <c r="AD67" s="15"/>
      <c r="AE67" s="15"/>
      <c r="AF67" s="15"/>
      <c r="AG67" s="15"/>
      <c r="AH67" s="15"/>
      <c r="AI67" s="15"/>
      <c r="AJ67" s="15"/>
      <c r="AK67" s="15"/>
      <c r="AL67" s="15"/>
      <c r="AM67" s="15"/>
      <c r="AN67" s="15"/>
      <c r="AO67" s="15"/>
      <c r="AP67" s="15"/>
      <c r="AQ67" s="15"/>
    </row>
    <row r="68" spans="1:43" s="33" customFormat="1" ht="17.25" hidden="1" customHeight="1">
      <c r="A68" s="191"/>
      <c r="D68" s="1094"/>
      <c r="E68" s="1114"/>
      <c r="F68" s="1117"/>
      <c r="G68" s="1114"/>
      <c r="H68" s="774"/>
      <c r="I68" s="775"/>
      <c r="J68" s="775"/>
      <c r="K68" s="775"/>
      <c r="L68" s="775"/>
      <c r="M68" s="775"/>
      <c r="N68" s="775"/>
      <c r="O68" s="775"/>
      <c r="P68" s="775"/>
      <c r="Q68" s="775"/>
      <c r="R68" s="775"/>
      <c r="S68" s="776"/>
      <c r="T68" s="776"/>
      <c r="U68" s="776"/>
      <c r="V68" s="776"/>
      <c r="W68" s="777"/>
      <c r="Y68" s="15"/>
      <c r="Z68" s="15"/>
      <c r="AA68" s="15"/>
      <c r="AB68" s="15"/>
      <c r="AC68" s="15"/>
      <c r="AD68" s="15"/>
      <c r="AE68" s="15"/>
      <c r="AF68" s="15"/>
      <c r="AG68" s="15"/>
      <c r="AH68" s="15"/>
      <c r="AI68" s="15"/>
      <c r="AJ68" s="15"/>
      <c r="AK68" s="15"/>
      <c r="AL68" s="15"/>
      <c r="AM68" s="15"/>
      <c r="AN68" s="15"/>
      <c r="AO68" s="15"/>
      <c r="AP68" s="15"/>
      <c r="AQ68" s="15"/>
    </row>
    <row r="69" spans="1:43" s="33" customFormat="1" ht="17.25" hidden="1" customHeight="1">
      <c r="A69" s="191"/>
      <c r="C69" s="74"/>
      <c r="D69" s="1112">
        <v>2</v>
      </c>
      <c r="E69" s="1113" t="s">
        <v>231</v>
      </c>
      <c r="F69" s="1115" t="s">
        <v>57</v>
      </c>
      <c r="G69" s="1113"/>
      <c r="H69" s="1118"/>
      <c r="I69" s="1120"/>
      <c r="J69" s="1122"/>
      <c r="K69" s="1110"/>
      <c r="L69" s="1110"/>
      <c r="M69" s="1110"/>
      <c r="N69" s="1125"/>
      <c r="O69" s="1110"/>
      <c r="P69" s="1110"/>
      <c r="Q69" s="1110"/>
      <c r="R69" s="1128"/>
      <c r="S69" s="1110"/>
      <c r="T69" s="828"/>
      <c r="U69" s="828"/>
      <c r="V69" s="827"/>
      <c r="W69" s="771"/>
      <c r="X69" s="756"/>
      <c r="Y69" s="756"/>
      <c r="Z69" s="756"/>
      <c r="AA69" s="756"/>
      <c r="AB69" s="756"/>
      <c r="AC69" s="756" t="s">
        <v>232</v>
      </c>
      <c r="AD69" s="756" t="s">
        <v>233</v>
      </c>
      <c r="AE69" s="756" t="s">
        <v>234</v>
      </c>
      <c r="AF69" s="756" t="s">
        <v>235</v>
      </c>
      <c r="AG69" s="756"/>
      <c r="AH69" s="756" t="str">
        <f>IF($E$69=0,"",$E$69)</f>
        <v>Тариф на техническую воду</v>
      </c>
      <c r="AI69" s="756" t="str">
        <f>IF($G$69=0,"",$G$69)</f>
        <v/>
      </c>
      <c r="AJ69" s="756" t="str">
        <f>IF($J$69=0,"",$J$69)</f>
        <v/>
      </c>
      <c r="AK69" s="756" t="str">
        <f>IF($K$69="нет","без дифференциации",IF($N$69=0,"",$N$69))</f>
        <v/>
      </c>
      <c r="AL69" s="756" t="str">
        <f>IF($O$69="нет","без дифференциации",IF($R$69=0,"",$R$69))</f>
        <v/>
      </c>
      <c r="AM69" s="756" t="str">
        <f>IF($S$69="нет","без дифференциации",IF($V$69=0,"",$V$69))</f>
        <v/>
      </c>
      <c r="AN69" s="1004">
        <f>$I$69</f>
        <v>0</v>
      </c>
      <c r="AO69" s="756" t="str">
        <f>$I$69&amp;"."&amp;$M$69</f>
        <v>.</v>
      </c>
      <c r="AP69" s="15" t="str">
        <f>$I$69&amp;"."&amp;$M$69&amp;"."&amp;$Q$69</f>
        <v>..</v>
      </c>
      <c r="AQ69" s="15" t="str">
        <f>$I$69&amp;"."&amp;$M$69&amp;"."&amp;$Q$69&amp;"."&amp;$U$69</f>
        <v>...</v>
      </c>
    </row>
    <row r="70" spans="1:43" s="33" customFormat="1" ht="17.25" hidden="1" customHeight="1">
      <c r="A70" s="191"/>
      <c r="D70" s="1112"/>
      <c r="E70" s="1113"/>
      <c r="F70" s="1116"/>
      <c r="G70" s="1113"/>
      <c r="H70" s="1119"/>
      <c r="I70" s="1121"/>
      <c r="J70" s="1123"/>
      <c r="K70" s="1111"/>
      <c r="L70" s="1111"/>
      <c r="M70" s="1111"/>
      <c r="N70" s="1126"/>
      <c r="O70" s="1111"/>
      <c r="P70" s="1111"/>
      <c r="Q70" s="1111"/>
      <c r="R70" s="1127"/>
      <c r="S70" s="1111"/>
      <c r="T70" s="772"/>
      <c r="U70" s="772"/>
      <c r="V70" s="772"/>
      <c r="W70" s="773"/>
      <c r="X70" s="15"/>
      <c r="Y70" s="15"/>
      <c r="Z70" s="15"/>
      <c r="AA70" s="15"/>
      <c r="AB70" s="15"/>
      <c r="AC70" s="15"/>
      <c r="AD70" s="15"/>
      <c r="AE70" s="15"/>
      <c r="AF70" s="15"/>
      <c r="AG70" s="15"/>
      <c r="AH70" s="15"/>
      <c r="AI70" s="15"/>
      <c r="AJ70" s="15"/>
      <c r="AK70" s="15"/>
      <c r="AL70" s="15"/>
      <c r="AM70" s="15"/>
      <c r="AN70" s="15"/>
      <c r="AO70" s="15"/>
      <c r="AP70" s="15"/>
      <c r="AQ70" s="15"/>
    </row>
    <row r="71" spans="1:43" s="33" customFormat="1" ht="17.25" hidden="1" customHeight="1">
      <c r="A71" s="191"/>
      <c r="D71" s="1094"/>
      <c r="E71" s="1114"/>
      <c r="F71" s="1116"/>
      <c r="G71" s="1114"/>
      <c r="H71" s="1119"/>
      <c r="I71" s="1121"/>
      <c r="J71" s="1124"/>
      <c r="K71" s="1111"/>
      <c r="L71" s="1111"/>
      <c r="M71" s="1111"/>
      <c r="N71" s="1127"/>
      <c r="O71" s="1111"/>
      <c r="P71" s="53"/>
      <c r="Q71" s="772"/>
      <c r="R71" s="772"/>
      <c r="W71" s="773"/>
      <c r="X71" s="15"/>
      <c r="Y71" s="15"/>
      <c r="Z71" s="15"/>
      <c r="AA71" s="15"/>
      <c r="AB71" s="15"/>
      <c r="AC71" s="15"/>
      <c r="AD71" s="15"/>
      <c r="AE71" s="15"/>
      <c r="AF71" s="15"/>
      <c r="AG71" s="15"/>
      <c r="AH71" s="15"/>
      <c r="AI71" s="15"/>
      <c r="AJ71" s="15"/>
      <c r="AK71" s="15"/>
      <c r="AL71" s="15"/>
      <c r="AM71" s="15"/>
      <c r="AN71" s="15"/>
      <c r="AO71" s="15"/>
      <c r="AP71" s="15"/>
      <c r="AQ71" s="15"/>
    </row>
    <row r="72" spans="1:43" s="33" customFormat="1" ht="17.25" hidden="1" customHeight="1">
      <c r="A72" s="191"/>
      <c r="D72" s="1094"/>
      <c r="E72" s="1114"/>
      <c r="F72" s="1116"/>
      <c r="G72" s="1114"/>
      <c r="H72" s="1119"/>
      <c r="I72" s="1121"/>
      <c r="J72" s="1124"/>
      <c r="K72" s="1111"/>
      <c r="L72" s="772"/>
      <c r="M72" s="772"/>
      <c r="N72" s="772"/>
      <c r="O72" s="772"/>
      <c r="P72" s="772"/>
      <c r="Q72" s="772"/>
      <c r="R72" s="772"/>
      <c r="W72" s="773"/>
      <c r="X72" s="15"/>
      <c r="Y72" s="15"/>
      <c r="Z72" s="15"/>
      <c r="AA72" s="15"/>
      <c r="AB72" s="15"/>
      <c r="AC72" s="15"/>
      <c r="AD72" s="15"/>
      <c r="AE72" s="15"/>
      <c r="AF72" s="15"/>
      <c r="AG72" s="15"/>
      <c r="AH72" s="15"/>
      <c r="AI72" s="15"/>
      <c r="AJ72" s="15"/>
      <c r="AK72" s="15"/>
      <c r="AL72" s="15"/>
      <c r="AM72" s="15"/>
      <c r="AN72" s="15"/>
      <c r="AO72" s="15"/>
      <c r="AP72" s="15"/>
      <c r="AQ72" s="15"/>
    </row>
    <row r="73" spans="1:43" s="33" customFormat="1" ht="17.25" hidden="1" customHeight="1">
      <c r="A73" s="191"/>
      <c r="D73" s="1094"/>
      <c r="E73" s="1114"/>
      <c r="F73" s="1117"/>
      <c r="G73" s="1114"/>
      <c r="H73" s="774"/>
      <c r="I73" s="775"/>
      <c r="J73" s="775"/>
      <c r="K73" s="775"/>
      <c r="L73" s="775"/>
      <c r="M73" s="775"/>
      <c r="N73" s="775"/>
      <c r="O73" s="775"/>
      <c r="P73" s="775"/>
      <c r="Q73" s="775"/>
      <c r="R73" s="775"/>
      <c r="S73" s="776"/>
      <c r="T73" s="776"/>
      <c r="U73" s="776"/>
      <c r="V73" s="776"/>
      <c r="W73" s="777"/>
      <c r="X73" s="15"/>
      <c r="Y73" s="15"/>
      <c r="Z73" s="15"/>
      <c r="AA73" s="15"/>
      <c r="AB73" s="15"/>
      <c r="AC73" s="15"/>
      <c r="AD73" s="15"/>
      <c r="AE73" s="15"/>
      <c r="AF73" s="15"/>
      <c r="AG73" s="15"/>
      <c r="AH73" s="15"/>
      <c r="AI73" s="15"/>
      <c r="AJ73" s="15"/>
      <c r="AK73" s="15"/>
      <c r="AL73" s="15"/>
      <c r="AM73" s="15"/>
      <c r="AN73" s="15"/>
      <c r="AO73" s="15"/>
      <c r="AP73" s="15"/>
      <c r="AQ73" s="15"/>
    </row>
    <row r="74" spans="1:43" s="33" customFormat="1" ht="17.25" hidden="1" customHeight="1">
      <c r="A74" s="191"/>
      <c r="C74" s="74"/>
      <c r="D74" s="1112">
        <v>3</v>
      </c>
      <c r="E74" s="1113" t="s">
        <v>236</v>
      </c>
      <c r="F74" s="1115" t="s">
        <v>57</v>
      </c>
      <c r="G74" s="1113"/>
      <c r="H74" s="1118"/>
      <c r="I74" s="1120"/>
      <c r="J74" s="1122"/>
      <c r="K74" s="1110"/>
      <c r="L74" s="1110"/>
      <c r="M74" s="1110"/>
      <c r="N74" s="1125"/>
      <c r="O74" s="1110"/>
      <c r="P74" s="1110"/>
      <c r="Q74" s="1110"/>
      <c r="R74" s="1128"/>
      <c r="S74" s="1110"/>
      <c r="T74" s="828"/>
      <c r="U74" s="828"/>
      <c r="V74" s="827"/>
      <c r="W74" s="771"/>
      <c r="X74" s="756"/>
      <c r="Y74" s="756"/>
      <c r="Z74" s="756"/>
      <c r="AA74" s="756"/>
      <c r="AB74" s="756"/>
      <c r="AC74" s="756" t="s">
        <v>237</v>
      </c>
      <c r="AD74" s="756" t="s">
        <v>238</v>
      </c>
      <c r="AE74" s="756" t="s">
        <v>239</v>
      </c>
      <c r="AF74" s="756" t="s">
        <v>240</v>
      </c>
      <c r="AG74" s="756"/>
      <c r="AH74" s="756" t="str">
        <f>IF($E$74=0,"",$E$74)</f>
        <v>Тариф на транспортировку воды</v>
      </c>
      <c r="AI74" s="756" t="str">
        <f>IF($G$74=0,"",$G$74)</f>
        <v/>
      </c>
      <c r="AJ74" s="756" t="str">
        <f>IF($J$74=0,"",$J$74)</f>
        <v/>
      </c>
      <c r="AK74" s="756" t="str">
        <f>IF($K$74="нет","без дифференциации",IF($N$74=0,"",$N$74))</f>
        <v/>
      </c>
      <c r="AL74" s="756" t="str">
        <f>IF($O$74="нет","без дифференциации",IF($R$74=0,"",$R$74))</f>
        <v/>
      </c>
      <c r="AM74" s="756" t="str">
        <f>IF($S$74="нет","без дифференциации",IF($V$74=0,"",$V$74))</f>
        <v/>
      </c>
      <c r="AN74" s="1004">
        <f>$I$74</f>
        <v>0</v>
      </c>
      <c r="AO74" s="756" t="str">
        <f>$I$74&amp;"."&amp;$M$74</f>
        <v>.</v>
      </c>
      <c r="AP74" s="15" t="str">
        <f>$I$74&amp;"."&amp;$M$74&amp;"."&amp;$Q$74</f>
        <v>..</v>
      </c>
      <c r="AQ74" s="15" t="str">
        <f>$I$74&amp;"."&amp;$M$74&amp;"."&amp;$Q$74&amp;"."&amp;$U$74</f>
        <v>...</v>
      </c>
    </row>
    <row r="75" spans="1:43" s="33" customFormat="1" ht="17.25" hidden="1" customHeight="1">
      <c r="A75" s="191"/>
      <c r="D75" s="1112"/>
      <c r="E75" s="1113"/>
      <c r="F75" s="1116"/>
      <c r="G75" s="1113"/>
      <c r="H75" s="1119"/>
      <c r="I75" s="1121"/>
      <c r="J75" s="1123"/>
      <c r="K75" s="1111"/>
      <c r="L75" s="1111"/>
      <c r="M75" s="1111"/>
      <c r="N75" s="1126"/>
      <c r="O75" s="1111"/>
      <c r="P75" s="1111"/>
      <c r="Q75" s="1111"/>
      <c r="R75" s="1127"/>
      <c r="S75" s="1111"/>
      <c r="T75" s="772"/>
      <c r="U75" s="772"/>
      <c r="V75" s="772"/>
      <c r="W75" s="773"/>
      <c r="X75" s="15"/>
      <c r="Y75" s="15"/>
      <c r="Z75" s="15"/>
      <c r="AA75" s="15"/>
      <c r="AB75" s="15"/>
      <c r="AC75" s="15"/>
      <c r="AD75" s="15"/>
      <c r="AE75" s="15"/>
      <c r="AF75" s="15"/>
      <c r="AG75" s="15"/>
      <c r="AH75" s="15"/>
      <c r="AI75" s="15"/>
      <c r="AJ75" s="15"/>
      <c r="AK75" s="15"/>
      <c r="AL75" s="15"/>
      <c r="AM75" s="15"/>
      <c r="AN75" s="15"/>
      <c r="AO75" s="15"/>
      <c r="AP75" s="15"/>
      <c r="AQ75" s="15"/>
    </row>
    <row r="76" spans="1:43" s="33" customFormat="1" ht="17.25" hidden="1" customHeight="1">
      <c r="A76" s="191"/>
      <c r="D76" s="1094"/>
      <c r="E76" s="1114"/>
      <c r="F76" s="1116"/>
      <c r="G76" s="1114"/>
      <c r="H76" s="1119"/>
      <c r="I76" s="1121"/>
      <c r="J76" s="1124"/>
      <c r="K76" s="1111"/>
      <c r="L76" s="1111"/>
      <c r="M76" s="1111"/>
      <c r="N76" s="1127"/>
      <c r="O76" s="1111"/>
      <c r="P76" s="53"/>
      <c r="Q76" s="772"/>
      <c r="R76" s="772"/>
      <c r="W76" s="773"/>
      <c r="X76" s="15"/>
      <c r="Y76" s="15"/>
      <c r="Z76" s="15"/>
      <c r="AA76" s="15"/>
      <c r="AB76" s="15"/>
      <c r="AC76" s="15"/>
      <c r="AD76" s="15"/>
      <c r="AE76" s="15"/>
      <c r="AF76" s="15"/>
      <c r="AG76" s="15"/>
      <c r="AH76" s="15"/>
      <c r="AI76" s="15"/>
      <c r="AJ76" s="15"/>
      <c r="AK76" s="15"/>
      <c r="AL76" s="15"/>
      <c r="AM76" s="15"/>
      <c r="AN76" s="15"/>
      <c r="AO76" s="15"/>
      <c r="AP76" s="15"/>
      <c r="AQ76" s="15"/>
    </row>
    <row r="77" spans="1:43" s="33" customFormat="1" ht="17.25" hidden="1" customHeight="1">
      <c r="A77" s="191"/>
      <c r="D77" s="1094"/>
      <c r="E77" s="1114"/>
      <c r="F77" s="1116"/>
      <c r="G77" s="1114"/>
      <c r="H77" s="1119"/>
      <c r="I77" s="1121"/>
      <c r="J77" s="1124"/>
      <c r="K77" s="1111"/>
      <c r="L77" s="772"/>
      <c r="M77" s="772"/>
      <c r="N77" s="772"/>
      <c r="O77" s="772"/>
      <c r="P77" s="772"/>
      <c r="Q77" s="772"/>
      <c r="R77" s="772"/>
      <c r="W77" s="773"/>
      <c r="X77" s="15"/>
      <c r="Y77" s="15"/>
      <c r="Z77" s="15"/>
      <c r="AA77" s="15"/>
      <c r="AB77" s="15"/>
      <c r="AC77" s="15"/>
      <c r="AD77" s="15"/>
      <c r="AE77" s="15"/>
      <c r="AF77" s="15"/>
      <c r="AG77" s="15"/>
      <c r="AH77" s="15"/>
      <c r="AI77" s="15"/>
      <c r="AJ77" s="15"/>
      <c r="AK77" s="15"/>
      <c r="AL77" s="15"/>
      <c r="AM77" s="15"/>
      <c r="AN77" s="15"/>
      <c r="AO77" s="15"/>
      <c r="AP77" s="15"/>
      <c r="AQ77" s="15"/>
    </row>
    <row r="78" spans="1:43" s="33" customFormat="1" ht="17.25" hidden="1" customHeight="1">
      <c r="A78" s="191"/>
      <c r="D78" s="1094"/>
      <c r="E78" s="1114"/>
      <c r="F78" s="1117"/>
      <c r="G78" s="1114"/>
      <c r="H78" s="774"/>
      <c r="I78" s="775"/>
      <c r="J78" s="775"/>
      <c r="K78" s="775"/>
      <c r="L78" s="775"/>
      <c r="M78" s="775"/>
      <c r="N78" s="775"/>
      <c r="O78" s="775"/>
      <c r="P78" s="775"/>
      <c r="Q78" s="775"/>
      <c r="R78" s="775"/>
      <c r="S78" s="776"/>
      <c r="T78" s="776"/>
      <c r="U78" s="776"/>
      <c r="V78" s="776"/>
      <c r="W78" s="777"/>
      <c r="X78" s="15"/>
      <c r="Y78" s="15"/>
      <c r="Z78" s="15"/>
      <c r="AA78" s="15"/>
      <c r="AB78" s="15"/>
      <c r="AC78" s="15"/>
      <c r="AD78" s="15"/>
      <c r="AE78" s="15"/>
      <c r="AF78" s="15"/>
      <c r="AG78" s="15"/>
      <c r="AH78" s="15"/>
      <c r="AI78" s="15"/>
      <c r="AJ78" s="15"/>
      <c r="AK78" s="15"/>
      <c r="AL78" s="15"/>
      <c r="AM78" s="15"/>
      <c r="AN78" s="15"/>
      <c r="AO78" s="15"/>
      <c r="AP78" s="15"/>
      <c r="AQ78" s="15"/>
    </row>
    <row r="79" spans="1:43" s="33" customFormat="1" ht="17.25" hidden="1" customHeight="1">
      <c r="A79" s="191"/>
      <c r="C79" s="74"/>
      <c r="D79" s="1112">
        <v>4</v>
      </c>
      <c r="E79" s="1113" t="s">
        <v>241</v>
      </c>
      <c r="F79" s="1115" t="s">
        <v>57</v>
      </c>
      <c r="G79" s="1113"/>
      <c r="H79" s="1118"/>
      <c r="I79" s="1120"/>
      <c r="J79" s="1122"/>
      <c r="K79" s="1110"/>
      <c r="L79" s="1110"/>
      <c r="M79" s="1110"/>
      <c r="N79" s="1125"/>
      <c r="O79" s="1110"/>
      <c r="P79" s="1110"/>
      <c r="Q79" s="1110"/>
      <c r="R79" s="1128"/>
      <c r="S79" s="1110"/>
      <c r="T79" s="828"/>
      <c r="U79" s="828"/>
      <c r="V79" s="827"/>
      <c r="W79" s="771"/>
      <c r="X79" s="756"/>
      <c r="Y79" s="756"/>
      <c r="Z79" s="756"/>
      <c r="AA79" s="756"/>
      <c r="AB79" s="756"/>
      <c r="AC79" s="756" t="s">
        <v>242</v>
      </c>
      <c r="AD79" s="756" t="s">
        <v>243</v>
      </c>
      <c r="AE79" s="756" t="s">
        <v>244</v>
      </c>
      <c r="AF79" s="756" t="s">
        <v>245</v>
      </c>
      <c r="AG79" s="756"/>
      <c r="AH79" s="756" t="str">
        <f>IF($E$79=0,"",$E$79)</f>
        <v>Тариф на подвоз воды</v>
      </c>
      <c r="AI79" s="756" t="str">
        <f>IF($G$79=0,"",$G$79)</f>
        <v/>
      </c>
      <c r="AJ79" s="756" t="str">
        <f>IF($J$79=0,"",$J$79)</f>
        <v/>
      </c>
      <c r="AK79" s="756" t="str">
        <f>IF($K$79="нет","без дифференциации",IF($N$79=0,"",$N$79))</f>
        <v/>
      </c>
      <c r="AL79" s="756" t="str">
        <f>IF($O$79="нет","без дифференциации",IF($R$79=0,"",$R$79))</f>
        <v/>
      </c>
      <c r="AM79" s="756" t="str">
        <f>IF($S$79="нет","без дифференциации",IF($V$79=0,"",$V$79))</f>
        <v/>
      </c>
      <c r="AN79" s="1004">
        <f>$I$79</f>
        <v>0</v>
      </c>
      <c r="AO79" s="756" t="str">
        <f>$I$79&amp;"."&amp;$M$79</f>
        <v>.</v>
      </c>
      <c r="AP79" s="15" t="str">
        <f>$I$79&amp;"."&amp;$M$79&amp;"."&amp;$Q$79</f>
        <v>..</v>
      </c>
      <c r="AQ79" s="15" t="str">
        <f>$I$79&amp;"."&amp;$M$79&amp;"."&amp;$Q$79&amp;"."&amp;$U$79</f>
        <v>...</v>
      </c>
    </row>
    <row r="80" spans="1:43" s="33" customFormat="1" ht="17.25" hidden="1" customHeight="1">
      <c r="A80" s="191"/>
      <c r="D80" s="1112"/>
      <c r="E80" s="1113"/>
      <c r="F80" s="1116"/>
      <c r="G80" s="1113"/>
      <c r="H80" s="1119"/>
      <c r="I80" s="1121"/>
      <c r="J80" s="1123"/>
      <c r="K80" s="1111"/>
      <c r="L80" s="1111"/>
      <c r="M80" s="1111"/>
      <c r="N80" s="1126"/>
      <c r="O80" s="1111"/>
      <c r="P80" s="1111"/>
      <c r="Q80" s="1111"/>
      <c r="R80" s="1127"/>
      <c r="S80" s="1111"/>
      <c r="T80" s="772"/>
      <c r="U80" s="772"/>
      <c r="V80" s="772"/>
      <c r="W80" s="773"/>
      <c r="X80" s="15"/>
      <c r="Y80" s="15"/>
      <c r="Z80" s="15"/>
      <c r="AA80" s="15"/>
      <c r="AB80" s="15"/>
      <c r="AC80" s="15"/>
      <c r="AD80" s="15"/>
      <c r="AE80" s="15"/>
      <c r="AF80" s="15"/>
      <c r="AG80" s="15"/>
      <c r="AH80" s="15"/>
      <c r="AI80" s="15"/>
      <c r="AJ80" s="15"/>
      <c r="AK80" s="15"/>
      <c r="AL80" s="15"/>
      <c r="AM80" s="15"/>
      <c r="AN80" s="15"/>
      <c r="AO80" s="15"/>
      <c r="AP80" s="15"/>
      <c r="AQ80" s="15"/>
    </row>
    <row r="81" spans="1:43" s="33" customFormat="1" ht="17.25" hidden="1" customHeight="1">
      <c r="A81" s="191"/>
      <c r="D81" s="1094"/>
      <c r="E81" s="1114"/>
      <c r="F81" s="1116"/>
      <c r="G81" s="1114"/>
      <c r="H81" s="1119"/>
      <c r="I81" s="1121"/>
      <c r="J81" s="1124"/>
      <c r="K81" s="1111"/>
      <c r="L81" s="1111"/>
      <c r="M81" s="1111"/>
      <c r="N81" s="1127"/>
      <c r="O81" s="1111"/>
      <c r="P81" s="53"/>
      <c r="Q81" s="772"/>
      <c r="R81" s="772"/>
      <c r="W81" s="773"/>
      <c r="X81" s="15"/>
      <c r="Y81" s="15"/>
      <c r="Z81" s="15"/>
      <c r="AA81" s="15"/>
      <c r="AB81" s="15"/>
      <c r="AC81" s="15"/>
      <c r="AD81" s="15"/>
      <c r="AE81" s="15"/>
      <c r="AF81" s="15"/>
      <c r="AG81" s="15"/>
      <c r="AH81" s="15"/>
      <c r="AI81" s="15"/>
      <c r="AJ81" s="15"/>
      <c r="AK81" s="15"/>
      <c r="AL81" s="15"/>
      <c r="AM81" s="15"/>
      <c r="AN81" s="15"/>
      <c r="AO81" s="15"/>
      <c r="AP81" s="15"/>
      <c r="AQ81" s="15"/>
    </row>
    <row r="82" spans="1:43" s="33" customFormat="1" ht="17.25" hidden="1" customHeight="1">
      <c r="A82" s="191"/>
      <c r="D82" s="1094"/>
      <c r="E82" s="1114"/>
      <c r="F82" s="1116"/>
      <c r="G82" s="1114"/>
      <c r="H82" s="1119"/>
      <c r="I82" s="1121"/>
      <c r="J82" s="1124"/>
      <c r="K82" s="1111"/>
      <c r="L82" s="772"/>
      <c r="M82" s="772"/>
      <c r="N82" s="772"/>
      <c r="O82" s="772"/>
      <c r="P82" s="772"/>
      <c r="Q82" s="772"/>
      <c r="R82" s="772"/>
      <c r="W82" s="773"/>
      <c r="X82" s="15"/>
      <c r="Y82" s="15"/>
      <c r="Z82" s="15"/>
      <c r="AA82" s="15"/>
      <c r="AB82" s="15"/>
      <c r="AC82" s="15"/>
      <c r="AD82" s="15"/>
      <c r="AE82" s="15"/>
      <c r="AF82" s="15"/>
      <c r="AG82" s="15"/>
      <c r="AH82" s="15"/>
      <c r="AI82" s="15"/>
      <c r="AJ82" s="15"/>
      <c r="AK82" s="15"/>
      <c r="AL82" s="15"/>
      <c r="AM82" s="15"/>
      <c r="AN82" s="15"/>
      <c r="AO82" s="15"/>
      <c r="AP82" s="15"/>
      <c r="AQ82" s="15"/>
    </row>
    <row r="83" spans="1:43" s="33" customFormat="1" ht="17.25" hidden="1" customHeight="1">
      <c r="A83" s="191"/>
      <c r="D83" s="1094"/>
      <c r="E83" s="1114"/>
      <c r="F83" s="1117"/>
      <c r="G83" s="1114"/>
      <c r="H83" s="774"/>
      <c r="I83" s="775"/>
      <c r="J83" s="775"/>
      <c r="K83" s="775"/>
      <c r="L83" s="775"/>
      <c r="M83" s="775"/>
      <c r="N83" s="775"/>
      <c r="O83" s="775"/>
      <c r="P83" s="775"/>
      <c r="Q83" s="775"/>
      <c r="R83" s="775"/>
      <c r="S83" s="776"/>
      <c r="T83" s="776"/>
      <c r="U83" s="776"/>
      <c r="V83" s="776"/>
      <c r="W83" s="777"/>
      <c r="X83" s="15"/>
      <c r="Y83" s="15"/>
      <c r="Z83" s="15"/>
      <c r="AA83" s="15"/>
      <c r="AB83" s="15"/>
      <c r="AC83" s="15"/>
      <c r="AD83" s="15"/>
      <c r="AE83" s="15"/>
      <c r="AF83" s="15"/>
      <c r="AG83" s="15"/>
      <c r="AH83" s="15"/>
      <c r="AI83" s="15"/>
      <c r="AJ83" s="15"/>
      <c r="AK83" s="15"/>
      <c r="AL83" s="15"/>
      <c r="AM83" s="15"/>
      <c r="AN83" s="15"/>
      <c r="AO83" s="15"/>
      <c r="AP83" s="15"/>
      <c r="AQ83" s="15"/>
    </row>
    <row r="84" spans="1:43" s="33" customFormat="1" ht="17.25" hidden="1" customHeight="1">
      <c r="A84" s="191"/>
      <c r="C84" s="74"/>
      <c r="D84" s="1112">
        <v>5</v>
      </c>
      <c r="E84" s="1113" t="s">
        <v>246</v>
      </c>
      <c r="F84" s="1115" t="s">
        <v>57</v>
      </c>
      <c r="G84" s="1113"/>
      <c r="H84" s="1118"/>
      <c r="I84" s="1120"/>
      <c r="J84" s="1122"/>
      <c r="K84" s="1110"/>
      <c r="L84" s="1110"/>
      <c r="M84" s="1110"/>
      <c r="N84" s="1125"/>
      <c r="O84" s="1110"/>
      <c r="P84" s="1110"/>
      <c r="Q84" s="1110"/>
      <c r="R84" s="1128"/>
      <c r="S84" s="1110"/>
      <c r="T84" s="828"/>
      <c r="U84" s="828"/>
      <c r="V84" s="827"/>
      <c r="W84" s="771"/>
      <c r="X84" s="756"/>
      <c r="Y84" s="756"/>
      <c r="Z84" s="756"/>
      <c r="AA84" s="756"/>
      <c r="AB84" s="756"/>
      <c r="AC84" s="756" t="s">
        <v>247</v>
      </c>
      <c r="AD84" s="756" t="s">
        <v>248</v>
      </c>
      <c r="AE84" s="756" t="s">
        <v>249</v>
      </c>
      <c r="AF84" s="756" t="s">
        <v>250</v>
      </c>
      <c r="AG84" s="756"/>
      <c r="AH84" s="756" t="str">
        <f>IF($E$84=0,"",$E$84)</f>
        <v>Тариф на подключение (технологическое присоединение) к централизованной системе холодного водоснабжения</v>
      </c>
      <c r="AI84" s="756" t="str">
        <f>IF($G$84=0,"",$G$84)</f>
        <v/>
      </c>
      <c r="AJ84" s="756" t="str">
        <f>IF($J$84=0,"",$J$84)</f>
        <v/>
      </c>
      <c r="AK84" s="756" t="str">
        <f>IF($K$84="нет","без дифференциации",IF($N$84=0,"",$N$84))</f>
        <v/>
      </c>
      <c r="AL84" s="756" t="str">
        <f>IF($O$84="нет","без дифференциации",IF($R$84=0,"",$R$84))</f>
        <v/>
      </c>
      <c r="AM84" s="756" t="str">
        <f>IF($S$84="нет","без дифференциации",IF($V$84=0,"",$V$84))</f>
        <v/>
      </c>
      <c r="AN84" s="1004">
        <f>$I$84</f>
        <v>0</v>
      </c>
      <c r="AO84" s="756" t="str">
        <f>$I$84&amp;"."&amp;$M$84</f>
        <v>.</v>
      </c>
      <c r="AP84" s="15" t="str">
        <f>$I$84&amp;"."&amp;$M$84&amp;"."&amp;$Q$84</f>
        <v>..</v>
      </c>
      <c r="AQ84" s="15" t="str">
        <f>$I$84&amp;"."&amp;$M$84&amp;"."&amp;$Q$84&amp;"."&amp;$U$84</f>
        <v>...</v>
      </c>
    </row>
    <row r="85" spans="1:43" s="33" customFormat="1" ht="17.25" hidden="1" customHeight="1">
      <c r="A85" s="191"/>
      <c r="D85" s="1112"/>
      <c r="E85" s="1113"/>
      <c r="F85" s="1116"/>
      <c r="G85" s="1113"/>
      <c r="H85" s="1119"/>
      <c r="I85" s="1121"/>
      <c r="J85" s="1123"/>
      <c r="K85" s="1111"/>
      <c r="L85" s="1111"/>
      <c r="M85" s="1111"/>
      <c r="N85" s="1126"/>
      <c r="O85" s="1111"/>
      <c r="P85" s="1111"/>
      <c r="Q85" s="1111"/>
      <c r="R85" s="1127"/>
      <c r="S85" s="1111"/>
      <c r="T85" s="772"/>
      <c r="U85" s="772"/>
      <c r="V85" s="772"/>
      <c r="W85" s="773"/>
      <c r="X85" s="15"/>
      <c r="Y85" s="15"/>
      <c r="Z85" s="15"/>
      <c r="AA85" s="15"/>
      <c r="AB85" s="15"/>
      <c r="AC85" s="15"/>
      <c r="AD85" s="15"/>
      <c r="AE85" s="15"/>
      <c r="AF85" s="15"/>
      <c r="AG85" s="15"/>
      <c r="AH85" s="15"/>
      <c r="AI85" s="15"/>
      <c r="AJ85" s="15"/>
      <c r="AK85" s="15"/>
      <c r="AL85" s="15"/>
      <c r="AM85" s="15"/>
      <c r="AN85" s="15"/>
      <c r="AO85" s="15"/>
      <c r="AP85" s="15"/>
      <c r="AQ85" s="15"/>
    </row>
    <row r="86" spans="1:43" s="33" customFormat="1" ht="17.25" hidden="1" customHeight="1">
      <c r="A86" s="191"/>
      <c r="D86" s="1094"/>
      <c r="E86" s="1114"/>
      <c r="F86" s="1116"/>
      <c r="G86" s="1114"/>
      <c r="H86" s="1119"/>
      <c r="I86" s="1121"/>
      <c r="J86" s="1124"/>
      <c r="K86" s="1111"/>
      <c r="L86" s="1111"/>
      <c r="M86" s="1111"/>
      <c r="N86" s="1127"/>
      <c r="O86" s="1111"/>
      <c r="P86" s="53"/>
      <c r="Q86" s="772"/>
      <c r="R86" s="772"/>
      <c r="W86" s="773"/>
      <c r="X86" s="15"/>
      <c r="Y86" s="15"/>
      <c r="Z86" s="15"/>
      <c r="AA86" s="15"/>
      <c r="AB86" s="15"/>
      <c r="AC86" s="15"/>
      <c r="AD86" s="15"/>
      <c r="AE86" s="15"/>
      <c r="AF86" s="15"/>
      <c r="AG86" s="15"/>
      <c r="AH86" s="15"/>
      <c r="AI86" s="15"/>
      <c r="AJ86" s="15"/>
      <c r="AK86" s="15"/>
      <c r="AL86" s="15"/>
      <c r="AM86" s="15"/>
      <c r="AN86" s="15"/>
      <c r="AO86" s="15"/>
      <c r="AP86" s="15"/>
      <c r="AQ86" s="15"/>
    </row>
    <row r="87" spans="1:43" s="33" customFormat="1" ht="17.25" hidden="1" customHeight="1">
      <c r="A87" s="191"/>
      <c r="D87" s="1094"/>
      <c r="E87" s="1114"/>
      <c r="F87" s="1116"/>
      <c r="G87" s="1114"/>
      <c r="H87" s="1119"/>
      <c r="I87" s="1121"/>
      <c r="J87" s="1124"/>
      <c r="K87" s="1111"/>
      <c r="L87" s="772"/>
      <c r="M87" s="772"/>
      <c r="N87" s="772"/>
      <c r="O87" s="772"/>
      <c r="P87" s="772"/>
      <c r="Q87" s="772"/>
      <c r="R87" s="772"/>
      <c r="W87" s="773"/>
      <c r="X87" s="15"/>
      <c r="Y87" s="15"/>
      <c r="Z87" s="15"/>
      <c r="AA87" s="15"/>
      <c r="AB87" s="15"/>
      <c r="AC87" s="15"/>
      <c r="AD87" s="15"/>
      <c r="AE87" s="15"/>
      <c r="AF87" s="15"/>
      <c r="AG87" s="15"/>
      <c r="AH87" s="15"/>
      <c r="AI87" s="15"/>
      <c r="AJ87" s="15"/>
      <c r="AK87" s="15"/>
      <c r="AL87" s="15"/>
      <c r="AM87" s="15"/>
      <c r="AN87" s="15"/>
      <c r="AO87" s="15"/>
      <c r="AP87" s="15"/>
      <c r="AQ87" s="15"/>
    </row>
    <row r="88" spans="1:43" s="33" customFormat="1" ht="17.25" hidden="1" customHeight="1">
      <c r="A88" s="191"/>
      <c r="D88" s="1094"/>
      <c r="E88" s="1114"/>
      <c r="F88" s="1117"/>
      <c r="G88" s="1114"/>
      <c r="H88" s="774"/>
      <c r="I88" s="775"/>
      <c r="J88" s="775"/>
      <c r="K88" s="775"/>
      <c r="L88" s="775"/>
      <c r="M88" s="775"/>
      <c r="N88" s="775"/>
      <c r="O88" s="775"/>
      <c r="P88" s="775"/>
      <c r="Q88" s="775"/>
      <c r="R88" s="775"/>
      <c r="S88" s="776"/>
      <c r="T88" s="776"/>
      <c r="U88" s="776"/>
      <c r="V88" s="776"/>
      <c r="W88" s="777"/>
      <c r="X88" s="15"/>
      <c r="Y88" s="15"/>
      <c r="Z88" s="15"/>
      <c r="AA88" s="15"/>
      <c r="AB88" s="15"/>
      <c r="AC88" s="15"/>
      <c r="AD88" s="15"/>
      <c r="AE88" s="15"/>
      <c r="AF88" s="15"/>
      <c r="AG88" s="15"/>
      <c r="AH88" s="15"/>
      <c r="AI88" s="15"/>
      <c r="AJ88" s="15"/>
      <c r="AK88" s="15"/>
      <c r="AL88" s="15"/>
      <c r="AM88" s="15"/>
      <c r="AN88" s="15"/>
      <c r="AO88" s="15"/>
      <c r="AP88" s="15"/>
      <c r="AQ88" s="15"/>
    </row>
    <row r="89" spans="1:43" s="33" customFormat="1" ht="11.25" customHeight="1">
      <c r="A89" s="66"/>
      <c r="B89" s="66"/>
      <c r="Y89" s="15"/>
      <c r="Z89" s="15"/>
      <c r="AA89" s="15"/>
      <c r="AB89" s="15"/>
      <c r="AC89" s="15"/>
      <c r="AD89" s="15"/>
      <c r="AE89" s="15"/>
      <c r="AF89" s="15"/>
      <c r="AG89" s="15"/>
      <c r="AH89" s="15"/>
      <c r="AI89" s="15"/>
      <c r="AJ89" s="15"/>
      <c r="AK89" s="15"/>
      <c r="AL89" s="15"/>
      <c r="AM89" s="15"/>
      <c r="AN89" s="15"/>
      <c r="AO89" s="15"/>
      <c r="AP89" s="15"/>
      <c r="AQ89" s="15"/>
    </row>
    <row r="90" spans="1:43" s="33" customFormat="1" ht="17.25" hidden="1" customHeight="1">
      <c r="A90" s="191"/>
      <c r="C90" s="74"/>
      <c r="D90" s="1112">
        <v>1</v>
      </c>
      <c r="E90" s="1113" t="s">
        <v>251</v>
      </c>
      <c r="F90" s="1115" t="s">
        <v>57</v>
      </c>
      <c r="G90" s="1113"/>
      <c r="H90" s="1118"/>
      <c r="I90" s="1120"/>
      <c r="J90" s="1122"/>
      <c r="K90" s="1110"/>
      <c r="L90" s="1110"/>
      <c r="M90" s="1110"/>
      <c r="N90" s="1125"/>
      <c r="O90" s="1110"/>
      <c r="P90" s="1110"/>
      <c r="Q90" s="1110"/>
      <c r="R90" s="1128"/>
      <c r="S90" s="1110"/>
      <c r="T90" s="828"/>
      <c r="U90" s="828"/>
      <c r="V90" s="827"/>
      <c r="W90" s="771"/>
      <c r="Y90" s="756"/>
      <c r="Z90" s="756"/>
      <c r="AA90" s="756"/>
      <c r="AB90" s="756"/>
      <c r="AC90" s="756" t="s">
        <v>252</v>
      </c>
      <c r="AD90" s="756" t="s">
        <v>253</v>
      </c>
      <c r="AE90" s="756" t="s">
        <v>254</v>
      </c>
      <c r="AF90" s="756" t="s">
        <v>255</v>
      </c>
      <c r="AG90" s="756"/>
      <c r="AH90" s="756" t="str">
        <f>IF($E$90=0,"",$E$90)</f>
        <v>Тариф на горячую воду (горячее водоснабжение)</v>
      </c>
      <c r="AI90" s="756" t="str">
        <f>IF($G$90=0,"",$G$90)</f>
        <v/>
      </c>
      <c r="AJ90" s="756" t="str">
        <f>IF($J$90=0,"",$J$90)</f>
        <v/>
      </c>
      <c r="AK90" s="756" t="str">
        <f>IF($K$90="нет","без дифференциации",IF($N$90=0,"",$N$90))</f>
        <v/>
      </c>
      <c r="AL90" s="756" t="str">
        <f>IF($O$90="нет","без дифференциации",IF($R$90=0,"",$R$90))</f>
        <v/>
      </c>
      <c r="AM90" s="756" t="str">
        <f>IF($S$90="нет","без дифференциации",IF($V$90=0,"",$V$90))</f>
        <v/>
      </c>
      <c r="AN90" s="756">
        <f>$I$90</f>
        <v>0</v>
      </c>
      <c r="AO90" s="756" t="str">
        <f>$I$90&amp;"."&amp;$M$90</f>
        <v>.</v>
      </c>
      <c r="AP90" s="756" t="str">
        <f>$I$90&amp;"."&amp;$M$90&amp;"."&amp;$Q$90</f>
        <v>..</v>
      </c>
      <c r="AQ90" s="756" t="str">
        <f>$I$90&amp;"."&amp;$M$90&amp;"."&amp;$Q$90&amp;"."&amp;$U$90</f>
        <v>...</v>
      </c>
    </row>
    <row r="91" spans="1:43" s="33" customFormat="1" ht="17.25" hidden="1" customHeight="1">
      <c r="A91" s="191"/>
      <c r="D91" s="1112"/>
      <c r="E91" s="1113"/>
      <c r="F91" s="1116"/>
      <c r="G91" s="1113"/>
      <c r="H91" s="1119"/>
      <c r="I91" s="1121"/>
      <c r="J91" s="1123"/>
      <c r="K91" s="1111"/>
      <c r="L91" s="1111"/>
      <c r="M91" s="1111"/>
      <c r="N91" s="1126"/>
      <c r="O91" s="1111"/>
      <c r="P91" s="1111"/>
      <c r="Q91" s="1111"/>
      <c r="R91" s="1127"/>
      <c r="S91" s="1111"/>
      <c r="T91" s="772"/>
      <c r="U91" s="772"/>
      <c r="V91" s="772"/>
      <c r="W91" s="773"/>
      <c r="Y91" s="15"/>
      <c r="Z91" s="15"/>
      <c r="AA91" s="15"/>
      <c r="AB91" s="15"/>
      <c r="AC91" s="15"/>
      <c r="AD91" s="15"/>
      <c r="AE91" s="15"/>
      <c r="AF91" s="15"/>
      <c r="AG91" s="15"/>
      <c r="AH91" s="15"/>
      <c r="AI91" s="15"/>
      <c r="AJ91" s="15"/>
      <c r="AK91" s="15"/>
      <c r="AL91" s="15"/>
      <c r="AM91" s="15"/>
      <c r="AN91" s="15"/>
      <c r="AO91" s="15"/>
      <c r="AP91" s="15"/>
      <c r="AQ91" s="15"/>
    </row>
    <row r="92" spans="1:43" s="33" customFormat="1" ht="17.25" hidden="1" customHeight="1">
      <c r="A92" s="191"/>
      <c r="C92" s="74"/>
      <c r="D92" s="1112"/>
      <c r="E92" s="1113"/>
      <c r="F92" s="1116"/>
      <c r="G92" s="1113"/>
      <c r="H92" s="1119"/>
      <c r="I92" s="1121"/>
      <c r="J92" s="1124"/>
      <c r="K92" s="1111"/>
      <c r="L92" s="1111"/>
      <c r="M92" s="1111"/>
      <c r="N92" s="1127"/>
      <c r="O92" s="1111"/>
      <c r="P92" s="53"/>
      <c r="Q92" s="772"/>
      <c r="R92" s="772"/>
      <c r="W92" s="773"/>
      <c r="Y92" s="756"/>
      <c r="Z92" s="756"/>
      <c r="AA92" s="756"/>
      <c r="AB92" s="756"/>
      <c r="AC92" s="756"/>
      <c r="AD92" s="756"/>
      <c r="AE92" s="756"/>
      <c r="AF92" s="756"/>
      <c r="AG92" s="756"/>
      <c r="AH92" s="756"/>
      <c r="AI92" s="756"/>
      <c r="AJ92" s="756"/>
      <c r="AK92" s="756"/>
      <c r="AL92" s="756"/>
      <c r="AM92" s="756"/>
      <c r="AN92" s="756"/>
      <c r="AO92" s="756"/>
      <c r="AP92" s="756"/>
      <c r="AQ92" s="756"/>
    </row>
    <row r="93" spans="1:43" s="33" customFormat="1" ht="17.25" hidden="1" customHeight="1">
      <c r="A93" s="191"/>
      <c r="D93" s="1112"/>
      <c r="E93" s="1113"/>
      <c r="F93" s="1116"/>
      <c r="G93" s="1113"/>
      <c r="H93" s="1119"/>
      <c r="I93" s="1121"/>
      <c r="J93" s="1124"/>
      <c r="K93" s="1111"/>
      <c r="L93" s="772"/>
      <c r="M93" s="772"/>
      <c r="N93" s="772"/>
      <c r="O93" s="772"/>
      <c r="P93" s="772"/>
      <c r="Q93" s="772"/>
      <c r="R93" s="772"/>
      <c r="W93" s="773"/>
      <c r="Y93" s="15"/>
      <c r="Z93" s="15"/>
      <c r="AA93" s="15"/>
      <c r="AB93" s="15"/>
      <c r="AC93" s="15"/>
      <c r="AD93" s="15"/>
      <c r="AE93" s="15"/>
      <c r="AF93" s="15"/>
      <c r="AG93" s="15"/>
      <c r="AH93" s="15"/>
      <c r="AI93" s="15"/>
      <c r="AJ93" s="15"/>
      <c r="AK93" s="15"/>
      <c r="AL93" s="15"/>
      <c r="AM93" s="15"/>
      <c r="AN93" s="15"/>
      <c r="AO93" s="15"/>
      <c r="AP93" s="15"/>
      <c r="AQ93" s="15"/>
    </row>
    <row r="94" spans="1:43" s="33" customFormat="1" ht="17.25" hidden="1" customHeight="1">
      <c r="A94" s="191"/>
      <c r="D94" s="1094"/>
      <c r="E94" s="1114"/>
      <c r="F94" s="1117"/>
      <c r="G94" s="1114"/>
      <c r="H94" s="774"/>
      <c r="I94" s="775"/>
      <c r="J94" s="775"/>
      <c r="K94" s="775"/>
      <c r="L94" s="775"/>
      <c r="M94" s="775"/>
      <c r="N94" s="775"/>
      <c r="O94" s="775"/>
      <c r="P94" s="775"/>
      <c r="Q94" s="775"/>
      <c r="R94" s="775"/>
      <c r="S94" s="776"/>
      <c r="T94" s="776"/>
      <c r="U94" s="776"/>
      <c r="V94" s="776"/>
      <c r="W94" s="777"/>
      <c r="Y94" s="15"/>
      <c r="Z94" s="15"/>
      <c r="AA94" s="15"/>
      <c r="AB94" s="15"/>
      <c r="AC94" s="15"/>
      <c r="AD94" s="15"/>
      <c r="AE94" s="15"/>
      <c r="AF94" s="15"/>
      <c r="AG94" s="15"/>
      <c r="AH94" s="15"/>
      <c r="AI94" s="15"/>
      <c r="AJ94" s="15"/>
      <c r="AK94" s="15"/>
      <c r="AL94" s="15"/>
      <c r="AM94" s="15"/>
      <c r="AN94" s="15"/>
      <c r="AO94" s="15"/>
      <c r="AP94" s="15"/>
      <c r="AQ94" s="15"/>
    </row>
    <row r="95" spans="1:43" s="33" customFormat="1" ht="17.25" hidden="1" customHeight="1">
      <c r="A95" s="191"/>
      <c r="C95" s="74"/>
      <c r="D95" s="1112">
        <v>2</v>
      </c>
      <c r="E95" s="1113" t="s">
        <v>256</v>
      </c>
      <c r="F95" s="1115" t="s">
        <v>57</v>
      </c>
      <c r="G95" s="1113"/>
      <c r="H95" s="1118"/>
      <c r="I95" s="1120"/>
      <c r="J95" s="1122"/>
      <c r="K95" s="1110"/>
      <c r="L95" s="1110"/>
      <c r="M95" s="1110"/>
      <c r="N95" s="1125"/>
      <c r="O95" s="1110"/>
      <c r="P95" s="1110"/>
      <c r="Q95" s="1110"/>
      <c r="R95" s="1128"/>
      <c r="S95" s="1110"/>
      <c r="T95" s="828"/>
      <c r="U95" s="828"/>
      <c r="V95" s="827"/>
      <c r="W95" s="771"/>
      <c r="X95" s="756"/>
      <c r="Y95" s="756"/>
      <c r="Z95" s="756"/>
      <c r="AA95" s="756"/>
      <c r="AB95" s="756"/>
      <c r="AC95" s="756" t="s">
        <v>257</v>
      </c>
      <c r="AD95" s="756" t="s">
        <v>258</v>
      </c>
      <c r="AE95" s="756" t="s">
        <v>259</v>
      </c>
      <c r="AF95" s="756" t="s">
        <v>260</v>
      </c>
      <c r="AG95" s="756"/>
      <c r="AH95" s="756" t="str">
        <f>IF($E$95=0,"",$E$95)</f>
        <v>Тариф на транспортировку горячей воды</v>
      </c>
      <c r="AI95" s="756" t="str">
        <f>IF($G$95=0,"",$G$95)</f>
        <v/>
      </c>
      <c r="AJ95" s="756" t="str">
        <f>IF($J$95=0,"",$J$95)</f>
        <v/>
      </c>
      <c r="AK95" s="756" t="str">
        <f>IF($K$95="нет","без дифференциации",IF($N$95=0,"",$N$95))</f>
        <v/>
      </c>
      <c r="AL95" s="756" t="str">
        <f>IF($O$95="нет","без дифференциации",IF($R$95=0,"",$R$95))</f>
        <v/>
      </c>
      <c r="AM95" s="756" t="str">
        <f>IF($S$95="нет","без дифференциации",IF($V$95=0,"",$V$95))</f>
        <v/>
      </c>
      <c r="AN95" s="1004">
        <f>$I$95</f>
        <v>0</v>
      </c>
      <c r="AO95" s="756" t="str">
        <f>$I$95&amp;"."&amp;$M$95</f>
        <v>.</v>
      </c>
      <c r="AP95" s="15" t="str">
        <f>$I$95&amp;"."&amp;$M$95&amp;"."&amp;$Q$95</f>
        <v>..</v>
      </c>
      <c r="AQ95" s="15" t="str">
        <f>$I$95&amp;"."&amp;$M$95&amp;"."&amp;$Q$95&amp;"."&amp;$U$95</f>
        <v>...</v>
      </c>
    </row>
    <row r="96" spans="1:43" s="33" customFormat="1" ht="17.25" hidden="1" customHeight="1">
      <c r="A96" s="191"/>
      <c r="D96" s="1112"/>
      <c r="E96" s="1113"/>
      <c r="F96" s="1116"/>
      <c r="G96" s="1113"/>
      <c r="H96" s="1119"/>
      <c r="I96" s="1121"/>
      <c r="J96" s="1123"/>
      <c r="K96" s="1111"/>
      <c r="L96" s="1111"/>
      <c r="M96" s="1111"/>
      <c r="N96" s="1126"/>
      <c r="O96" s="1111"/>
      <c r="P96" s="1111"/>
      <c r="Q96" s="1111"/>
      <c r="R96" s="1127"/>
      <c r="S96" s="1111"/>
      <c r="T96" s="772"/>
      <c r="U96" s="772"/>
      <c r="V96" s="772"/>
      <c r="W96" s="773"/>
      <c r="X96" s="15"/>
      <c r="Y96" s="15"/>
      <c r="Z96" s="15"/>
      <c r="AA96" s="15"/>
      <c r="AB96" s="15"/>
      <c r="AC96" s="15"/>
      <c r="AD96" s="15"/>
      <c r="AE96" s="15"/>
      <c r="AF96" s="15"/>
      <c r="AG96" s="15"/>
      <c r="AH96" s="15"/>
      <c r="AI96" s="15"/>
      <c r="AJ96" s="15"/>
      <c r="AK96" s="15"/>
      <c r="AL96" s="15"/>
      <c r="AM96" s="15"/>
      <c r="AN96" s="15"/>
      <c r="AO96" s="15"/>
      <c r="AP96" s="15"/>
      <c r="AQ96" s="15"/>
    </row>
    <row r="97" spans="1:43" s="33" customFormat="1" ht="17.25" hidden="1" customHeight="1">
      <c r="A97" s="191"/>
      <c r="D97" s="1094"/>
      <c r="E97" s="1114"/>
      <c r="F97" s="1116"/>
      <c r="G97" s="1114"/>
      <c r="H97" s="1119"/>
      <c r="I97" s="1121"/>
      <c r="J97" s="1124"/>
      <c r="K97" s="1111"/>
      <c r="L97" s="1111"/>
      <c r="M97" s="1111"/>
      <c r="N97" s="1127"/>
      <c r="O97" s="1111"/>
      <c r="P97" s="53"/>
      <c r="Q97" s="772"/>
      <c r="R97" s="772"/>
      <c r="W97" s="773"/>
      <c r="X97" s="15"/>
      <c r="Y97" s="15"/>
      <c r="Z97" s="15"/>
      <c r="AA97" s="15"/>
      <c r="AB97" s="15"/>
      <c r="AC97" s="15"/>
      <c r="AD97" s="15"/>
      <c r="AE97" s="15"/>
      <c r="AF97" s="15"/>
      <c r="AG97" s="15"/>
      <c r="AH97" s="15"/>
      <c r="AI97" s="15"/>
      <c r="AJ97" s="15"/>
      <c r="AK97" s="15"/>
      <c r="AL97" s="15"/>
      <c r="AM97" s="15"/>
      <c r="AN97" s="15"/>
      <c r="AO97" s="15"/>
      <c r="AP97" s="15"/>
      <c r="AQ97" s="15"/>
    </row>
    <row r="98" spans="1:43" s="33" customFormat="1" ht="17.25" hidden="1" customHeight="1">
      <c r="A98" s="191"/>
      <c r="D98" s="1094"/>
      <c r="E98" s="1114"/>
      <c r="F98" s="1116"/>
      <c r="G98" s="1114"/>
      <c r="H98" s="1119"/>
      <c r="I98" s="1121"/>
      <c r="J98" s="1124"/>
      <c r="K98" s="1111"/>
      <c r="L98" s="772"/>
      <c r="M98" s="772"/>
      <c r="N98" s="772"/>
      <c r="O98" s="772"/>
      <c r="P98" s="772"/>
      <c r="Q98" s="772"/>
      <c r="R98" s="772"/>
      <c r="W98" s="773"/>
      <c r="X98" s="15"/>
      <c r="Y98" s="15"/>
      <c r="Z98" s="15"/>
      <c r="AA98" s="15"/>
      <c r="AB98" s="15"/>
      <c r="AC98" s="15"/>
      <c r="AD98" s="15"/>
      <c r="AE98" s="15"/>
      <c r="AF98" s="15"/>
      <c r="AG98" s="15"/>
      <c r="AH98" s="15"/>
      <c r="AI98" s="15"/>
      <c r="AJ98" s="15"/>
      <c r="AK98" s="15"/>
      <c r="AL98" s="15"/>
      <c r="AM98" s="15"/>
      <c r="AN98" s="15"/>
      <c r="AO98" s="15"/>
      <c r="AP98" s="15"/>
      <c r="AQ98" s="15"/>
    </row>
    <row r="99" spans="1:43" s="33" customFormat="1" ht="17.25" hidden="1" customHeight="1">
      <c r="A99" s="191"/>
      <c r="D99" s="1094"/>
      <c r="E99" s="1114"/>
      <c r="F99" s="1117"/>
      <c r="G99" s="1114"/>
      <c r="H99" s="774"/>
      <c r="I99" s="775"/>
      <c r="J99" s="775"/>
      <c r="K99" s="775"/>
      <c r="L99" s="775"/>
      <c r="M99" s="775"/>
      <c r="N99" s="775"/>
      <c r="O99" s="775"/>
      <c r="P99" s="775"/>
      <c r="Q99" s="775"/>
      <c r="R99" s="775"/>
      <c r="S99" s="776"/>
      <c r="T99" s="776"/>
      <c r="U99" s="776"/>
      <c r="V99" s="776"/>
      <c r="W99" s="777"/>
      <c r="X99" s="15"/>
      <c r="Y99" s="15"/>
      <c r="Z99" s="15"/>
      <c r="AA99" s="15"/>
      <c r="AB99" s="15"/>
      <c r="AC99" s="15"/>
      <c r="AD99" s="15"/>
      <c r="AE99" s="15"/>
      <c r="AF99" s="15"/>
      <c r="AG99" s="15"/>
      <c r="AH99" s="15"/>
      <c r="AI99" s="15"/>
      <c r="AJ99" s="15"/>
      <c r="AK99" s="15"/>
      <c r="AL99" s="15"/>
      <c r="AM99" s="15"/>
      <c r="AN99" s="15"/>
      <c r="AO99" s="15"/>
      <c r="AP99" s="15"/>
      <c r="AQ99" s="15"/>
    </row>
    <row r="100" spans="1:43" s="33" customFormat="1" ht="17.25" hidden="1" customHeight="1">
      <c r="A100" s="191"/>
      <c r="C100" s="74"/>
      <c r="D100" s="1112">
        <v>3</v>
      </c>
      <c r="E100" s="1113" t="s">
        <v>261</v>
      </c>
      <c r="F100" s="1115" t="s">
        <v>57</v>
      </c>
      <c r="G100" s="1113"/>
      <c r="H100" s="1118"/>
      <c r="I100" s="1120"/>
      <c r="J100" s="1122"/>
      <c r="K100" s="1110"/>
      <c r="L100" s="1110"/>
      <c r="M100" s="1110"/>
      <c r="N100" s="1125"/>
      <c r="O100" s="1110"/>
      <c r="P100" s="1110"/>
      <c r="Q100" s="1110"/>
      <c r="R100" s="1128"/>
      <c r="S100" s="1110"/>
      <c r="T100" s="828"/>
      <c r="U100" s="828"/>
      <c r="V100" s="827"/>
      <c r="W100" s="771"/>
      <c r="X100" s="756"/>
      <c r="Y100" s="756"/>
      <c r="Z100" s="756"/>
      <c r="AA100" s="756"/>
      <c r="AB100" s="756"/>
      <c r="AC100" s="756" t="s">
        <v>262</v>
      </c>
      <c r="AD100" s="756" t="s">
        <v>263</v>
      </c>
      <c r="AE100" s="756" t="s">
        <v>264</v>
      </c>
      <c r="AF100" s="756" t="s">
        <v>265</v>
      </c>
      <c r="AG100" s="756"/>
      <c r="AH100" s="756" t="str">
        <f>IF($E$100=0,"",$E$100)</f>
        <v>Тариф на подключение (технологическое присоединение) к централизованной системе горячего водоснабжения</v>
      </c>
      <c r="AI100" s="756" t="str">
        <f>IF($G$100=0,"",$G$100)</f>
        <v/>
      </c>
      <c r="AJ100" s="756" t="str">
        <f>IF($J$100=0,"",$J$100)</f>
        <v/>
      </c>
      <c r="AK100" s="756" t="str">
        <f>IF($K$100="нет","без дифференциации",IF($N$100=0,"",$N$100))</f>
        <v/>
      </c>
      <c r="AL100" s="756" t="str">
        <f>IF($O$100="нет","без дифференциации",IF($R$100=0,"",$R$100))</f>
        <v/>
      </c>
      <c r="AM100" s="756" t="str">
        <f>IF($S$100="нет","без дифференциации",IF($V$100=0,"",$V$100))</f>
        <v/>
      </c>
      <c r="AN100" s="1004">
        <f>$I$100</f>
        <v>0</v>
      </c>
      <c r="AO100" s="756" t="str">
        <f>$I$100&amp;"."&amp;$M$100</f>
        <v>.</v>
      </c>
      <c r="AP100" s="15" t="str">
        <f>$I$100&amp;"."&amp;$M$100&amp;"."&amp;$Q$100</f>
        <v>..</v>
      </c>
      <c r="AQ100" s="15" t="str">
        <f>$I$100&amp;"."&amp;$M$100&amp;"."&amp;$Q$100&amp;"."&amp;$U$100</f>
        <v>...</v>
      </c>
    </row>
    <row r="101" spans="1:43" s="33" customFormat="1" ht="17.25" hidden="1" customHeight="1">
      <c r="A101" s="191"/>
      <c r="D101" s="1112"/>
      <c r="E101" s="1113"/>
      <c r="F101" s="1116"/>
      <c r="G101" s="1113"/>
      <c r="H101" s="1119"/>
      <c r="I101" s="1121"/>
      <c r="J101" s="1123"/>
      <c r="K101" s="1111"/>
      <c r="L101" s="1111"/>
      <c r="M101" s="1111"/>
      <c r="N101" s="1126"/>
      <c r="O101" s="1111"/>
      <c r="P101" s="1111"/>
      <c r="Q101" s="1111"/>
      <c r="R101" s="1127"/>
      <c r="S101" s="1111"/>
      <c r="T101" s="772"/>
      <c r="U101" s="772"/>
      <c r="V101" s="772"/>
      <c r="W101" s="773"/>
      <c r="X101" s="15"/>
      <c r="Y101" s="15"/>
      <c r="Z101" s="15"/>
      <c r="AA101" s="15"/>
      <c r="AB101" s="15"/>
      <c r="AC101" s="15"/>
      <c r="AD101" s="15"/>
      <c r="AE101" s="15"/>
      <c r="AF101" s="15"/>
      <c r="AG101" s="15"/>
      <c r="AH101" s="15"/>
      <c r="AI101" s="15"/>
      <c r="AJ101" s="15"/>
      <c r="AK101" s="15"/>
      <c r="AL101" s="15"/>
      <c r="AM101" s="15"/>
      <c r="AN101" s="15"/>
      <c r="AO101" s="15"/>
      <c r="AP101" s="15"/>
      <c r="AQ101" s="15"/>
    </row>
    <row r="102" spans="1:43" s="33" customFormat="1" ht="17.25" hidden="1" customHeight="1">
      <c r="A102" s="191"/>
      <c r="D102" s="1094"/>
      <c r="E102" s="1114"/>
      <c r="F102" s="1116"/>
      <c r="G102" s="1114"/>
      <c r="H102" s="1119"/>
      <c r="I102" s="1121"/>
      <c r="J102" s="1124"/>
      <c r="K102" s="1111"/>
      <c r="L102" s="1111"/>
      <c r="M102" s="1111"/>
      <c r="N102" s="1127"/>
      <c r="O102" s="1111"/>
      <c r="P102" s="53"/>
      <c r="Q102" s="772"/>
      <c r="R102" s="772"/>
      <c r="W102" s="773"/>
      <c r="X102" s="15"/>
      <c r="Y102" s="15"/>
      <c r="Z102" s="15"/>
      <c r="AA102" s="15"/>
      <c r="AB102" s="15"/>
      <c r="AC102" s="15"/>
      <c r="AD102" s="15"/>
      <c r="AE102" s="15"/>
      <c r="AF102" s="15"/>
      <c r="AG102" s="15"/>
      <c r="AH102" s="15"/>
      <c r="AI102" s="15"/>
      <c r="AJ102" s="15"/>
      <c r="AK102" s="15"/>
      <c r="AL102" s="15"/>
      <c r="AM102" s="15"/>
      <c r="AN102" s="15"/>
      <c r="AO102" s="15"/>
      <c r="AP102" s="15"/>
      <c r="AQ102" s="15"/>
    </row>
    <row r="103" spans="1:43" s="33" customFormat="1" ht="17.25" hidden="1" customHeight="1">
      <c r="A103" s="191"/>
      <c r="D103" s="1094"/>
      <c r="E103" s="1114"/>
      <c r="F103" s="1116"/>
      <c r="G103" s="1114"/>
      <c r="H103" s="1119"/>
      <c r="I103" s="1121"/>
      <c r="J103" s="1124"/>
      <c r="K103" s="1111"/>
      <c r="L103" s="772"/>
      <c r="M103" s="772"/>
      <c r="N103" s="772"/>
      <c r="O103" s="772"/>
      <c r="P103" s="772"/>
      <c r="Q103" s="772"/>
      <c r="R103" s="772"/>
      <c r="W103" s="773"/>
      <c r="X103" s="15"/>
      <c r="Y103" s="15"/>
      <c r="Z103" s="15"/>
      <c r="AA103" s="15"/>
      <c r="AB103" s="15"/>
      <c r="AC103" s="15"/>
      <c r="AD103" s="15"/>
      <c r="AE103" s="15"/>
      <c r="AF103" s="15"/>
      <c r="AG103" s="15"/>
      <c r="AH103" s="15"/>
      <c r="AI103" s="15"/>
      <c r="AJ103" s="15"/>
      <c r="AK103" s="15"/>
      <c r="AL103" s="15"/>
      <c r="AM103" s="15"/>
      <c r="AN103" s="15"/>
      <c r="AO103" s="15"/>
      <c r="AP103" s="15"/>
      <c r="AQ103" s="15"/>
    </row>
    <row r="104" spans="1:43" s="33" customFormat="1" ht="17.25" hidden="1" customHeight="1">
      <c r="A104" s="191"/>
      <c r="D104" s="1094"/>
      <c r="E104" s="1114"/>
      <c r="F104" s="1117"/>
      <c r="G104" s="1114"/>
      <c r="H104" s="774"/>
      <c r="I104" s="775"/>
      <c r="J104" s="775"/>
      <c r="K104" s="775"/>
      <c r="L104" s="775"/>
      <c r="M104" s="775"/>
      <c r="N104" s="775"/>
      <c r="O104" s="775"/>
      <c r="P104" s="775"/>
      <c r="Q104" s="775"/>
      <c r="R104" s="775"/>
      <c r="S104" s="776"/>
      <c r="T104" s="776"/>
      <c r="U104" s="776"/>
      <c r="V104" s="776"/>
      <c r="W104" s="777"/>
      <c r="X104" s="15"/>
      <c r="Y104" s="15"/>
      <c r="Z104" s="15"/>
      <c r="AA104" s="15"/>
      <c r="AB104" s="15"/>
      <c r="AC104" s="15"/>
      <c r="AD104" s="15"/>
      <c r="AE104" s="15"/>
      <c r="AF104" s="15"/>
      <c r="AG104" s="15"/>
      <c r="AH104" s="15"/>
      <c r="AI104" s="15"/>
      <c r="AJ104" s="15"/>
      <c r="AK104" s="15"/>
      <c r="AL104" s="15"/>
      <c r="AM104" s="15"/>
      <c r="AN104" s="15"/>
      <c r="AO104" s="15"/>
      <c r="AP104" s="15"/>
      <c r="AQ104" s="15"/>
    </row>
    <row r="105" spans="1:43" s="33" customFormat="1" ht="11.25" customHeight="1">
      <c r="A105" s="66"/>
      <c r="B105" s="66"/>
      <c r="Y105" s="15"/>
      <c r="Z105" s="15"/>
      <c r="AA105" s="15"/>
      <c r="AB105" s="15"/>
      <c r="AC105" s="15"/>
      <c r="AD105" s="15"/>
      <c r="AE105" s="15"/>
      <c r="AF105" s="15"/>
      <c r="AG105" s="15"/>
      <c r="AH105" s="15"/>
      <c r="AI105" s="15"/>
      <c r="AJ105" s="15"/>
      <c r="AK105" s="15"/>
      <c r="AL105" s="15"/>
      <c r="AM105" s="15"/>
      <c r="AN105" s="15"/>
      <c r="AO105" s="15"/>
      <c r="AP105" s="15"/>
      <c r="AQ105" s="15"/>
    </row>
    <row r="106" spans="1:43" s="33" customFormat="1" ht="17.25" hidden="1" customHeight="1">
      <c r="A106" s="191"/>
      <c r="C106" s="74"/>
      <c r="D106" s="1112">
        <v>1</v>
      </c>
      <c r="E106" s="1113" t="s">
        <v>266</v>
      </c>
      <c r="F106" s="1115" t="s">
        <v>57</v>
      </c>
      <c r="G106" s="1113"/>
      <c r="H106" s="1118"/>
      <c r="I106" s="1120"/>
      <c r="J106" s="1122"/>
      <c r="K106" s="1110"/>
      <c r="L106" s="1110"/>
      <c r="M106" s="1110"/>
      <c r="N106" s="1125"/>
      <c r="O106" s="1110"/>
      <c r="P106" s="1110"/>
      <c r="Q106" s="1110"/>
      <c r="R106" s="1128"/>
      <c r="S106" s="1110"/>
      <c r="T106" s="828"/>
      <c r="U106" s="828"/>
      <c r="V106" s="827"/>
      <c r="W106" s="771"/>
      <c r="Y106" s="756"/>
      <c r="Z106" s="756"/>
      <c r="AA106" s="756"/>
      <c r="AB106" s="756"/>
      <c r="AC106" s="756" t="s">
        <v>267</v>
      </c>
      <c r="AD106" s="756" t="s">
        <v>268</v>
      </c>
      <c r="AE106" s="756" t="s">
        <v>269</v>
      </c>
      <c r="AF106" s="756" t="s">
        <v>270</v>
      </c>
      <c r="AG106" s="756"/>
      <c r="AH106" s="756" t="str">
        <f>IF($E$106=0,"",$E$106)</f>
        <v>Тариф на водоотведение</v>
      </c>
      <c r="AI106" s="756" t="str">
        <f>IF($G$106=0,"",$G$106)</f>
        <v/>
      </c>
      <c r="AJ106" s="756" t="str">
        <f>IF($J$106=0,"",$J$106)</f>
        <v/>
      </c>
      <c r="AK106" s="756" t="str">
        <f>IF($K$106="нет","без дифференциации",IF($N$106=0,"",$N$106))</f>
        <v/>
      </c>
      <c r="AL106" s="756" t="str">
        <f>IF($O$106="нет","без дифференциации",IF($R$106=0,"",$R$106))</f>
        <v/>
      </c>
      <c r="AM106" s="756" t="str">
        <f>IF($S$106="нет","без дифференциации",IF($V$106=0,"",$V$106))</f>
        <v/>
      </c>
      <c r="AN106" s="756">
        <f>$I$106</f>
        <v>0</v>
      </c>
      <c r="AO106" s="756" t="str">
        <f>$I$106&amp;"."&amp;$M$106</f>
        <v>.</v>
      </c>
      <c r="AP106" s="756" t="str">
        <f>$I$106&amp;"."&amp;$M$106&amp;"."&amp;$Q$106</f>
        <v>..</v>
      </c>
      <c r="AQ106" s="756" t="str">
        <f>$I$106&amp;"."&amp;$M$106&amp;"."&amp;$Q$106&amp;"."&amp;$U$106</f>
        <v>...</v>
      </c>
    </row>
    <row r="107" spans="1:43" s="33" customFormat="1" ht="17.25" hidden="1" customHeight="1">
      <c r="A107" s="191"/>
      <c r="D107" s="1112"/>
      <c r="E107" s="1113"/>
      <c r="F107" s="1116"/>
      <c r="G107" s="1113"/>
      <c r="H107" s="1119"/>
      <c r="I107" s="1121"/>
      <c r="J107" s="1123"/>
      <c r="K107" s="1111"/>
      <c r="L107" s="1111"/>
      <c r="M107" s="1111"/>
      <c r="N107" s="1126"/>
      <c r="O107" s="1111"/>
      <c r="P107" s="1111"/>
      <c r="Q107" s="1111"/>
      <c r="R107" s="1127"/>
      <c r="S107" s="1111"/>
      <c r="T107" s="772"/>
      <c r="U107" s="772"/>
      <c r="V107" s="772"/>
      <c r="W107" s="773"/>
      <c r="Y107" s="15"/>
      <c r="Z107" s="15"/>
      <c r="AA107" s="15"/>
      <c r="AB107" s="15"/>
      <c r="AC107" s="15"/>
      <c r="AD107" s="15"/>
      <c r="AE107" s="15"/>
      <c r="AF107" s="15"/>
      <c r="AG107" s="15"/>
      <c r="AH107" s="15"/>
      <c r="AI107" s="15"/>
      <c r="AJ107" s="15"/>
      <c r="AK107" s="15"/>
      <c r="AL107" s="15"/>
      <c r="AM107" s="15"/>
      <c r="AN107" s="15"/>
      <c r="AO107" s="15"/>
      <c r="AP107" s="15"/>
      <c r="AQ107" s="15"/>
    </row>
    <row r="108" spans="1:43" s="33" customFormat="1" ht="17.25" hidden="1" customHeight="1">
      <c r="A108" s="191"/>
      <c r="C108" s="74"/>
      <c r="D108" s="1112"/>
      <c r="E108" s="1113"/>
      <c r="F108" s="1116"/>
      <c r="G108" s="1113"/>
      <c r="H108" s="1119"/>
      <c r="I108" s="1121"/>
      <c r="J108" s="1124"/>
      <c r="K108" s="1111"/>
      <c r="L108" s="1111"/>
      <c r="M108" s="1111"/>
      <c r="N108" s="1127"/>
      <c r="O108" s="1111"/>
      <c r="P108" s="53"/>
      <c r="Q108" s="772"/>
      <c r="R108" s="772"/>
      <c r="W108" s="773"/>
      <c r="Y108" s="756"/>
      <c r="Z108" s="756"/>
      <c r="AA108" s="756"/>
      <c r="AB108" s="756"/>
      <c r="AC108" s="756"/>
      <c r="AD108" s="756"/>
      <c r="AE108" s="756"/>
      <c r="AF108" s="756"/>
      <c r="AG108" s="756"/>
      <c r="AH108" s="756"/>
      <c r="AI108" s="756"/>
      <c r="AJ108" s="756"/>
      <c r="AK108" s="756"/>
      <c r="AL108" s="756"/>
      <c r="AM108" s="756"/>
      <c r="AN108" s="756"/>
      <c r="AO108" s="756"/>
      <c r="AP108" s="756"/>
      <c r="AQ108" s="756"/>
    </row>
    <row r="109" spans="1:43" s="33" customFormat="1" ht="17.25" hidden="1" customHeight="1">
      <c r="A109" s="191"/>
      <c r="D109" s="1112"/>
      <c r="E109" s="1113"/>
      <c r="F109" s="1116"/>
      <c r="G109" s="1113"/>
      <c r="H109" s="1119"/>
      <c r="I109" s="1121"/>
      <c r="J109" s="1124"/>
      <c r="K109" s="1111"/>
      <c r="L109" s="772"/>
      <c r="M109" s="772"/>
      <c r="N109" s="772"/>
      <c r="O109" s="772"/>
      <c r="P109" s="772"/>
      <c r="Q109" s="772"/>
      <c r="R109" s="772"/>
      <c r="W109" s="773"/>
      <c r="Y109" s="15"/>
      <c r="Z109" s="15"/>
      <c r="AA109" s="15"/>
      <c r="AB109" s="15"/>
      <c r="AC109" s="15"/>
      <c r="AD109" s="15"/>
      <c r="AE109" s="15"/>
      <c r="AF109" s="15"/>
      <c r="AG109" s="15"/>
      <c r="AH109" s="15"/>
      <c r="AI109" s="15"/>
      <c r="AJ109" s="15"/>
      <c r="AK109" s="15"/>
      <c r="AL109" s="15"/>
      <c r="AM109" s="15"/>
      <c r="AN109" s="15"/>
      <c r="AO109" s="15"/>
      <c r="AP109" s="15"/>
      <c r="AQ109" s="15"/>
    </row>
    <row r="110" spans="1:43" s="33" customFormat="1" ht="17.25" hidden="1" customHeight="1">
      <c r="A110" s="191"/>
      <c r="D110" s="1094"/>
      <c r="E110" s="1114"/>
      <c r="F110" s="1117"/>
      <c r="G110" s="1114"/>
      <c r="H110" s="774"/>
      <c r="I110" s="775"/>
      <c r="J110" s="775"/>
      <c r="K110" s="775"/>
      <c r="L110" s="775"/>
      <c r="M110" s="775"/>
      <c r="N110" s="775"/>
      <c r="O110" s="775"/>
      <c r="P110" s="775"/>
      <c r="Q110" s="775"/>
      <c r="R110" s="775"/>
      <c r="S110" s="776"/>
      <c r="T110" s="776"/>
      <c r="U110" s="776"/>
      <c r="V110" s="776"/>
      <c r="W110" s="777"/>
      <c r="Y110" s="15"/>
      <c r="Z110" s="15"/>
      <c r="AA110" s="15"/>
      <c r="AB110" s="15"/>
      <c r="AC110" s="15"/>
      <c r="AD110" s="15"/>
      <c r="AE110" s="15"/>
      <c r="AF110" s="15"/>
      <c r="AG110" s="15"/>
      <c r="AH110" s="15"/>
      <c r="AI110" s="15"/>
      <c r="AJ110" s="15"/>
      <c r="AK110" s="15"/>
      <c r="AL110" s="15"/>
      <c r="AM110" s="15"/>
      <c r="AN110" s="15"/>
      <c r="AO110" s="15"/>
      <c r="AP110" s="15"/>
      <c r="AQ110" s="15"/>
    </row>
    <row r="111" spans="1:43" s="33" customFormat="1" ht="17.25" hidden="1" customHeight="1">
      <c r="A111" s="191"/>
      <c r="C111" s="74"/>
      <c r="D111" s="1112">
        <v>2</v>
      </c>
      <c r="E111" s="1113" t="s">
        <v>271</v>
      </c>
      <c r="F111" s="1115" t="s">
        <v>57</v>
      </c>
      <c r="G111" s="1113"/>
      <c r="H111" s="1118"/>
      <c r="I111" s="1120"/>
      <c r="J111" s="1122"/>
      <c r="K111" s="1110"/>
      <c r="L111" s="1110"/>
      <c r="M111" s="1110"/>
      <c r="N111" s="1125"/>
      <c r="O111" s="1110"/>
      <c r="P111" s="1110"/>
      <c r="Q111" s="1110"/>
      <c r="R111" s="1128"/>
      <c r="S111" s="1110"/>
      <c r="T111" s="828"/>
      <c r="U111" s="828"/>
      <c r="V111" s="827"/>
      <c r="W111" s="771"/>
      <c r="X111" s="756"/>
      <c r="Y111" s="756"/>
      <c r="Z111" s="756"/>
      <c r="AA111" s="756"/>
      <c r="AB111" s="756"/>
      <c r="AC111" s="756" t="s">
        <v>272</v>
      </c>
      <c r="AD111" s="756" t="s">
        <v>273</v>
      </c>
      <c r="AE111" s="756" t="s">
        <v>274</v>
      </c>
      <c r="AF111" s="756" t="s">
        <v>275</v>
      </c>
      <c r="AG111" s="756"/>
      <c r="AH111" s="756" t="str">
        <f>IF($E$111=0,"",$E$111)</f>
        <v>Тариф на транспортировку сточных вод</v>
      </c>
      <c r="AI111" s="756" t="str">
        <f>IF($G$111=0,"",$G$111)</f>
        <v/>
      </c>
      <c r="AJ111" s="756" t="str">
        <f>IF($J$111=0,"",$J$111)</f>
        <v/>
      </c>
      <c r="AK111" s="756" t="str">
        <f>IF($K$111="нет","без дифференциации",IF($N$111=0,"",$N$111))</f>
        <v/>
      </c>
      <c r="AL111" s="756" t="str">
        <f>IF($O$111="нет","без дифференциации",IF($R$111=0,"",$R$111))</f>
        <v/>
      </c>
      <c r="AM111" s="756" t="str">
        <f>IF($S$111="нет","без дифференциации",IF($V$111=0,"",$V$111))</f>
        <v/>
      </c>
      <c r="AN111" s="1004">
        <f>$I$111</f>
        <v>0</v>
      </c>
      <c r="AO111" s="756" t="str">
        <f>$I$111&amp;"."&amp;$M$111</f>
        <v>.</v>
      </c>
      <c r="AP111" s="15" t="str">
        <f>$I$111&amp;"."&amp;$M$111&amp;"."&amp;$Q$111</f>
        <v>..</v>
      </c>
      <c r="AQ111" s="15" t="str">
        <f>$I$111&amp;"."&amp;$M$111&amp;"."&amp;$Q$111&amp;"."&amp;$U$111</f>
        <v>...</v>
      </c>
    </row>
    <row r="112" spans="1:43" s="33" customFormat="1" ht="17.25" hidden="1" customHeight="1">
      <c r="A112" s="191"/>
      <c r="D112" s="1112"/>
      <c r="E112" s="1113"/>
      <c r="F112" s="1116"/>
      <c r="G112" s="1113"/>
      <c r="H112" s="1119"/>
      <c r="I112" s="1121"/>
      <c r="J112" s="1123"/>
      <c r="K112" s="1111"/>
      <c r="L112" s="1111"/>
      <c r="M112" s="1111"/>
      <c r="N112" s="1126"/>
      <c r="O112" s="1111"/>
      <c r="P112" s="1111"/>
      <c r="Q112" s="1111"/>
      <c r="R112" s="1127"/>
      <c r="S112" s="1111"/>
      <c r="T112" s="772"/>
      <c r="U112" s="772"/>
      <c r="V112" s="772"/>
      <c r="W112" s="773"/>
      <c r="X112" s="15"/>
      <c r="Y112" s="15"/>
      <c r="Z112" s="15"/>
      <c r="AA112" s="15"/>
      <c r="AB112" s="15"/>
      <c r="AC112" s="15"/>
      <c r="AD112" s="15"/>
      <c r="AE112" s="15"/>
      <c r="AF112" s="15"/>
      <c r="AG112" s="15"/>
      <c r="AH112" s="15"/>
      <c r="AI112" s="15"/>
      <c r="AJ112" s="15"/>
      <c r="AK112" s="15"/>
      <c r="AL112" s="15"/>
      <c r="AM112" s="15"/>
      <c r="AN112" s="15"/>
      <c r="AO112" s="15"/>
      <c r="AP112" s="15"/>
      <c r="AQ112" s="15"/>
    </row>
    <row r="113" spans="1:43" s="33" customFormat="1" ht="17.25" hidden="1" customHeight="1">
      <c r="A113" s="191"/>
      <c r="D113" s="1094"/>
      <c r="E113" s="1114"/>
      <c r="F113" s="1116"/>
      <c r="G113" s="1114"/>
      <c r="H113" s="1119"/>
      <c r="I113" s="1121"/>
      <c r="J113" s="1124"/>
      <c r="K113" s="1111"/>
      <c r="L113" s="1111"/>
      <c r="M113" s="1111"/>
      <c r="N113" s="1127"/>
      <c r="O113" s="1111"/>
      <c r="P113" s="53"/>
      <c r="Q113" s="772"/>
      <c r="R113" s="772"/>
      <c r="W113" s="773"/>
      <c r="X113" s="15"/>
      <c r="Y113" s="15"/>
      <c r="Z113" s="15"/>
      <c r="AA113" s="15"/>
      <c r="AB113" s="15"/>
      <c r="AC113" s="15"/>
      <c r="AD113" s="15"/>
      <c r="AE113" s="15"/>
      <c r="AF113" s="15"/>
      <c r="AG113" s="15"/>
      <c r="AH113" s="15"/>
      <c r="AI113" s="15"/>
      <c r="AJ113" s="15"/>
      <c r="AK113" s="15"/>
      <c r="AL113" s="15"/>
      <c r="AM113" s="15"/>
      <c r="AN113" s="15"/>
      <c r="AO113" s="15"/>
      <c r="AP113" s="15"/>
      <c r="AQ113" s="15"/>
    </row>
    <row r="114" spans="1:43" s="33" customFormat="1" ht="17.25" hidden="1" customHeight="1">
      <c r="A114" s="191"/>
      <c r="D114" s="1094"/>
      <c r="E114" s="1114"/>
      <c r="F114" s="1116"/>
      <c r="G114" s="1114"/>
      <c r="H114" s="1119"/>
      <c r="I114" s="1121"/>
      <c r="J114" s="1124"/>
      <c r="K114" s="1111"/>
      <c r="L114" s="772"/>
      <c r="M114" s="772"/>
      <c r="N114" s="772"/>
      <c r="O114" s="772"/>
      <c r="P114" s="772"/>
      <c r="Q114" s="772"/>
      <c r="R114" s="772"/>
      <c r="W114" s="773"/>
      <c r="X114" s="15"/>
      <c r="Y114" s="15"/>
      <c r="Z114" s="15"/>
      <c r="AA114" s="15"/>
      <c r="AB114" s="15"/>
      <c r="AC114" s="15"/>
      <c r="AD114" s="15"/>
      <c r="AE114" s="15"/>
      <c r="AF114" s="15"/>
      <c r="AG114" s="15"/>
      <c r="AH114" s="15"/>
      <c r="AI114" s="15"/>
      <c r="AJ114" s="15"/>
      <c r="AK114" s="15"/>
      <c r="AL114" s="15"/>
      <c r="AM114" s="15"/>
      <c r="AN114" s="15"/>
      <c r="AO114" s="15"/>
      <c r="AP114" s="15"/>
      <c r="AQ114" s="15"/>
    </row>
    <row r="115" spans="1:43" s="33" customFormat="1" ht="17.25" hidden="1" customHeight="1">
      <c r="A115" s="191"/>
      <c r="D115" s="1094"/>
      <c r="E115" s="1114"/>
      <c r="F115" s="1117"/>
      <c r="G115" s="1114"/>
      <c r="H115" s="774"/>
      <c r="I115" s="775"/>
      <c r="J115" s="775"/>
      <c r="K115" s="775"/>
      <c r="L115" s="775"/>
      <c r="M115" s="775"/>
      <c r="N115" s="775"/>
      <c r="O115" s="775"/>
      <c r="P115" s="775"/>
      <c r="Q115" s="775"/>
      <c r="R115" s="775"/>
      <c r="S115" s="776"/>
      <c r="T115" s="776"/>
      <c r="U115" s="776"/>
      <c r="V115" s="776"/>
      <c r="W115" s="777"/>
      <c r="X115" s="15"/>
      <c r="Y115" s="15"/>
      <c r="Z115" s="15"/>
      <c r="AA115" s="15"/>
      <c r="AB115" s="15"/>
      <c r="AC115" s="15"/>
      <c r="AD115" s="15"/>
      <c r="AE115" s="15"/>
      <c r="AF115" s="15"/>
      <c r="AG115" s="15"/>
      <c r="AH115" s="15"/>
      <c r="AI115" s="15"/>
      <c r="AJ115" s="15"/>
      <c r="AK115" s="15"/>
      <c r="AL115" s="15"/>
      <c r="AM115" s="15"/>
      <c r="AN115" s="15"/>
      <c r="AO115" s="15"/>
      <c r="AP115" s="15"/>
      <c r="AQ115" s="15"/>
    </row>
    <row r="116" spans="1:43" s="33" customFormat="1" ht="17.25" hidden="1" customHeight="1">
      <c r="A116" s="191"/>
      <c r="C116" s="74"/>
      <c r="D116" s="1112">
        <v>3</v>
      </c>
      <c r="E116" s="1113" t="s">
        <v>276</v>
      </c>
      <c r="F116" s="1115" t="s">
        <v>57</v>
      </c>
      <c r="G116" s="1113"/>
      <c r="H116" s="1118"/>
      <c r="I116" s="1120"/>
      <c r="J116" s="1122"/>
      <c r="K116" s="1110"/>
      <c r="L116" s="1110"/>
      <c r="M116" s="1110"/>
      <c r="N116" s="1125"/>
      <c r="O116" s="1110"/>
      <c r="P116" s="1110"/>
      <c r="Q116" s="1110"/>
      <c r="R116" s="1128"/>
      <c r="S116" s="1110"/>
      <c r="T116" s="828"/>
      <c r="U116" s="828"/>
      <c r="V116" s="827"/>
      <c r="W116" s="771"/>
      <c r="X116" s="756"/>
      <c r="Y116" s="756"/>
      <c r="Z116" s="756"/>
      <c r="AA116" s="756"/>
      <c r="AB116" s="756"/>
      <c r="AC116" s="756" t="s">
        <v>277</v>
      </c>
      <c r="AD116" s="756" t="s">
        <v>278</v>
      </c>
      <c r="AE116" s="756" t="s">
        <v>279</v>
      </c>
      <c r="AF116" s="756" t="s">
        <v>280</v>
      </c>
      <c r="AG116" s="756"/>
      <c r="AH116" s="756" t="str">
        <f>IF($E$116=0,"",$E$116)</f>
        <v>Тариф на подключение (технологическое присоединение) к централизованной системе водоотведения</v>
      </c>
      <c r="AI116" s="756" t="str">
        <f>IF($G$116=0,"",$G$116)</f>
        <v/>
      </c>
      <c r="AJ116" s="756" t="str">
        <f>IF($J$116=0,"",$J$116)</f>
        <v/>
      </c>
      <c r="AK116" s="756" t="str">
        <f>IF($K$116="нет","без дифференциации",IF($N$116=0,"",$N$116))</f>
        <v/>
      </c>
      <c r="AL116" s="756" t="str">
        <f>IF($O$116="нет","без дифференциации",IF($R$116=0,"",$R$116))</f>
        <v/>
      </c>
      <c r="AM116" s="756" t="str">
        <f>IF($S$116="нет","без дифференциации",IF($V$116=0,"",$V$116))</f>
        <v/>
      </c>
      <c r="AN116" s="1004">
        <f>$I$116</f>
        <v>0</v>
      </c>
      <c r="AO116" s="756" t="str">
        <f>$I$116&amp;"."&amp;$M$116</f>
        <v>.</v>
      </c>
      <c r="AP116" s="15" t="str">
        <f>$I$116&amp;"."&amp;$M$116&amp;"."&amp;$Q$116</f>
        <v>..</v>
      </c>
      <c r="AQ116" s="15" t="str">
        <f>$I$116&amp;"."&amp;$M$116&amp;"."&amp;$Q$116&amp;"."&amp;$U$116</f>
        <v>...</v>
      </c>
    </row>
    <row r="117" spans="1:43" s="33" customFormat="1" ht="17.25" hidden="1" customHeight="1">
      <c r="A117" s="191"/>
      <c r="D117" s="1112"/>
      <c r="E117" s="1113"/>
      <c r="F117" s="1116"/>
      <c r="G117" s="1113"/>
      <c r="H117" s="1119"/>
      <c r="I117" s="1121"/>
      <c r="J117" s="1123"/>
      <c r="K117" s="1111"/>
      <c r="L117" s="1111"/>
      <c r="M117" s="1111"/>
      <c r="N117" s="1126"/>
      <c r="O117" s="1111"/>
      <c r="P117" s="1111"/>
      <c r="Q117" s="1111"/>
      <c r="R117" s="1127"/>
      <c r="S117" s="1111"/>
      <c r="T117" s="772"/>
      <c r="U117" s="772"/>
      <c r="V117" s="772"/>
      <c r="W117" s="773"/>
      <c r="X117" s="15"/>
      <c r="Y117" s="15"/>
      <c r="Z117" s="15"/>
      <c r="AA117" s="15"/>
      <c r="AB117" s="15"/>
      <c r="AC117" s="15"/>
      <c r="AD117" s="15"/>
      <c r="AE117" s="15"/>
      <c r="AF117" s="15"/>
      <c r="AG117" s="15"/>
      <c r="AH117" s="15"/>
      <c r="AI117" s="15"/>
      <c r="AJ117" s="15"/>
      <c r="AK117" s="15"/>
      <c r="AL117" s="15"/>
      <c r="AM117" s="15"/>
      <c r="AN117" s="15"/>
      <c r="AO117" s="15"/>
      <c r="AP117" s="15"/>
      <c r="AQ117" s="15"/>
    </row>
    <row r="118" spans="1:43" s="33" customFormat="1" ht="17.25" hidden="1" customHeight="1">
      <c r="A118" s="191"/>
      <c r="D118" s="1094"/>
      <c r="E118" s="1114"/>
      <c r="F118" s="1116"/>
      <c r="G118" s="1114"/>
      <c r="H118" s="1119"/>
      <c r="I118" s="1121"/>
      <c r="J118" s="1124"/>
      <c r="K118" s="1111"/>
      <c r="L118" s="1111"/>
      <c r="M118" s="1111"/>
      <c r="N118" s="1127"/>
      <c r="O118" s="1111"/>
      <c r="P118" s="53"/>
      <c r="Q118" s="772"/>
      <c r="R118" s="772"/>
      <c r="W118" s="773"/>
      <c r="X118" s="15"/>
      <c r="Y118" s="15"/>
      <c r="Z118" s="15"/>
      <c r="AA118" s="15"/>
      <c r="AB118" s="15"/>
      <c r="AC118" s="15"/>
      <c r="AD118" s="15"/>
      <c r="AE118" s="15"/>
      <c r="AF118" s="15"/>
      <c r="AG118" s="15"/>
      <c r="AH118" s="15"/>
      <c r="AI118" s="15"/>
      <c r="AJ118" s="15"/>
      <c r="AK118" s="15"/>
      <c r="AL118" s="15"/>
      <c r="AM118" s="15"/>
      <c r="AN118" s="15"/>
      <c r="AO118" s="15"/>
      <c r="AP118" s="15"/>
      <c r="AQ118" s="15"/>
    </row>
    <row r="119" spans="1:43" s="33" customFormat="1" ht="17.25" hidden="1" customHeight="1">
      <c r="A119" s="191"/>
      <c r="D119" s="1094"/>
      <c r="E119" s="1114"/>
      <c r="F119" s="1116"/>
      <c r="G119" s="1114"/>
      <c r="H119" s="1119"/>
      <c r="I119" s="1121"/>
      <c r="J119" s="1124"/>
      <c r="K119" s="1111"/>
      <c r="L119" s="772"/>
      <c r="M119" s="772"/>
      <c r="N119" s="772"/>
      <c r="O119" s="772"/>
      <c r="P119" s="772"/>
      <c r="Q119" s="772"/>
      <c r="R119" s="772"/>
      <c r="W119" s="773"/>
      <c r="X119" s="15"/>
      <c r="Y119" s="15"/>
      <c r="Z119" s="15"/>
      <c r="AA119" s="15"/>
      <c r="AB119" s="15"/>
      <c r="AC119" s="15"/>
      <c r="AD119" s="15"/>
      <c r="AE119" s="15"/>
      <c r="AF119" s="15"/>
      <c r="AG119" s="15"/>
      <c r="AH119" s="15"/>
      <c r="AI119" s="15"/>
      <c r="AJ119" s="15"/>
      <c r="AK119" s="15"/>
      <c r="AL119" s="15"/>
      <c r="AM119" s="15"/>
      <c r="AN119" s="15"/>
      <c r="AO119" s="15"/>
      <c r="AP119" s="15"/>
      <c r="AQ119" s="15"/>
    </row>
    <row r="120" spans="1:43" s="33" customFormat="1" ht="17.25" hidden="1" customHeight="1">
      <c r="A120" s="191"/>
      <c r="D120" s="1094"/>
      <c r="E120" s="1114"/>
      <c r="F120" s="1117"/>
      <c r="G120" s="1114"/>
      <c r="H120" s="774"/>
      <c r="I120" s="775"/>
      <c r="J120" s="775"/>
      <c r="K120" s="775"/>
      <c r="L120" s="775"/>
      <c r="M120" s="775"/>
      <c r="N120" s="775"/>
      <c r="O120" s="775"/>
      <c r="P120" s="775"/>
      <c r="Q120" s="775"/>
      <c r="R120" s="775"/>
      <c r="S120" s="776"/>
      <c r="T120" s="776"/>
      <c r="U120" s="776"/>
      <c r="V120" s="776"/>
      <c r="W120" s="777"/>
      <c r="X120" s="15"/>
      <c r="Y120" s="15"/>
      <c r="Z120" s="15"/>
      <c r="AA120" s="15"/>
      <c r="AB120" s="15"/>
      <c r="AC120" s="15"/>
      <c r="AD120" s="15"/>
      <c r="AE120" s="15"/>
      <c r="AF120" s="15"/>
      <c r="AG120" s="15"/>
      <c r="AH120" s="15"/>
      <c r="AI120" s="15"/>
      <c r="AJ120" s="15"/>
      <c r="AK120" s="15"/>
      <c r="AL120" s="15"/>
      <c r="AM120" s="15"/>
      <c r="AN120" s="15"/>
      <c r="AO120" s="15"/>
      <c r="AP120" s="15"/>
      <c r="AQ120" s="15"/>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41202-8316-1F13-9AFB-52952F04F1DE}">
  <sheetPr>
    <tabColor rgb="FFCCCCFF"/>
  </sheetPr>
  <dimension ref="A1:BL49"/>
  <sheetViews>
    <sheetView showGridLines="0" topLeftCell="C3" zoomScale="90" workbookViewId="0"/>
  </sheetViews>
  <sheetFormatPr defaultColWidth="9.140625" defaultRowHeight="11.25" customHeight="1"/>
  <cols>
    <col min="1" max="2" width="9.140625" hidden="1"/>
    <col min="3" max="4" width="3.7109375" customWidth="1"/>
    <col min="5" max="6" width="16" customWidth="1"/>
    <col min="7" max="7" width="11.5703125" customWidth="1"/>
    <col min="8" max="9" width="3.7109375" customWidth="1"/>
    <col min="10" max="10" width="13.140625" customWidth="1"/>
    <col min="11" max="11" width="0.28515625" customWidth="1"/>
    <col min="12" max="13" width="10.7109375" customWidth="1"/>
    <col min="14" max="15" width="3.7109375" customWidth="1"/>
    <col min="16" max="16" width="19.7109375" customWidth="1"/>
    <col min="17" max="17" width="0.28515625" customWidth="1"/>
    <col min="18" max="19" width="10.7109375" customWidth="1"/>
    <col min="20" max="21" width="3.7109375" customWidth="1"/>
    <col min="22" max="22" width="25.7109375" customWidth="1"/>
    <col min="23" max="23" width="0.28515625" customWidth="1"/>
    <col min="24" max="25" width="10.7109375" customWidth="1"/>
    <col min="26" max="27" width="3.7109375" customWidth="1"/>
    <col min="28" max="28" width="16.42578125" customWidth="1"/>
    <col min="29" max="29" width="0.28515625" customWidth="1"/>
    <col min="30" max="31" width="10.7109375" customWidth="1"/>
    <col min="32" max="33" width="3.7109375" customWidth="1"/>
    <col min="34" max="34" width="8.7109375" customWidth="1"/>
    <col min="35" max="35" width="21.7109375" customWidth="1"/>
    <col min="37" max="37" width="9.140625" style="44"/>
  </cols>
  <sheetData>
    <row r="1" spans="1:64" s="101" customFormat="1" ht="11.25" hidden="1" customHeight="1">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row>
    <row r="2" spans="1:64" s="890" customFormat="1" ht="11.25" hidden="1" customHeight="1">
      <c r="L2" s="890" t="s">
        <v>281</v>
      </c>
      <c r="M2" s="890" t="s">
        <v>282</v>
      </c>
      <c r="R2" s="890" t="s">
        <v>283</v>
      </c>
      <c r="S2" s="890" t="s">
        <v>282</v>
      </c>
      <c r="X2" s="890" t="s">
        <v>281</v>
      </c>
      <c r="Y2" s="890" t="s">
        <v>282</v>
      </c>
      <c r="AD2" s="890" t="s">
        <v>281</v>
      </c>
      <c r="AE2" s="890" t="s">
        <v>282</v>
      </c>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row>
    <row r="3" spans="1:64" s="891" customFormat="1" ht="11.25" customHeight="1">
      <c r="AJ3"/>
      <c r="AK3" s="44"/>
      <c r="AL3"/>
      <c r="AM3"/>
      <c r="AN3"/>
      <c r="AO3"/>
      <c r="AP3"/>
      <c r="AQ3"/>
      <c r="AR3"/>
      <c r="AS3"/>
      <c r="AT3"/>
      <c r="AU3"/>
      <c r="AV3"/>
      <c r="AW3"/>
      <c r="AX3"/>
      <c r="AY3"/>
      <c r="AZ3"/>
      <c r="BA3"/>
      <c r="BB3"/>
      <c r="BC3"/>
      <c r="BD3"/>
      <c r="BE3"/>
      <c r="BF3"/>
      <c r="BG3"/>
      <c r="BH3"/>
      <c r="BI3"/>
      <c r="BJ3"/>
      <c r="BK3"/>
      <c r="BL3"/>
    </row>
    <row r="4" spans="1:64" s="43" customFormat="1" ht="33" customHeight="1">
      <c r="A4" s="6"/>
      <c r="B4" s="9"/>
      <c r="C4" s="74"/>
      <c r="D4" s="1144" t="s">
        <v>284</v>
      </c>
      <c r="E4" s="1144"/>
      <c r="F4" s="1144"/>
      <c r="G4" s="1144"/>
      <c r="H4" s="1144"/>
      <c r="I4" s="1144"/>
      <c r="J4" s="1144"/>
      <c r="K4" s="410"/>
      <c r="T4" s="892"/>
      <c r="AJ4" s="907"/>
      <c r="AK4" s="908"/>
      <c r="AL4" s="907"/>
      <c r="AM4" s="907"/>
      <c r="AN4" s="907"/>
      <c r="AO4" s="907"/>
      <c r="AP4" s="907"/>
      <c r="AQ4" s="907"/>
      <c r="AR4" s="907"/>
      <c r="AS4" s="907"/>
      <c r="AT4" s="907"/>
      <c r="AU4" s="907"/>
      <c r="AV4" s="907"/>
      <c r="AW4" s="907"/>
      <c r="AX4" s="907"/>
      <c r="AY4" s="907"/>
      <c r="AZ4" s="907"/>
      <c r="BA4" s="907"/>
      <c r="BB4" s="907"/>
      <c r="BC4" s="907"/>
      <c r="BD4" s="907"/>
      <c r="BE4" s="907"/>
      <c r="BF4" s="907"/>
      <c r="BG4" s="907"/>
      <c r="BH4" s="907"/>
      <c r="BI4" s="907"/>
      <c r="BJ4" s="907"/>
      <c r="BK4" s="907"/>
      <c r="BL4" s="907"/>
    </row>
    <row r="5" spans="1:64" s="43" customFormat="1" ht="14.25" customHeight="1">
      <c r="A5" s="6"/>
      <c r="B5" s="9"/>
      <c r="C5" s="74"/>
      <c r="D5" s="1167" t="str">
        <f>IF(org=0,"Не определено",org)</f>
        <v>ООО "Концессионная Коммунальная Компания"</v>
      </c>
      <c r="E5" s="1167"/>
      <c r="F5" s="1167"/>
      <c r="G5" s="1167"/>
      <c r="H5" s="1167"/>
      <c r="I5" s="1167"/>
      <c r="J5" s="1167"/>
      <c r="K5" s="410"/>
      <c r="T5" s="892"/>
      <c r="AJ5" s="907"/>
      <c r="AK5" s="908"/>
      <c r="AL5" s="907"/>
      <c r="AM5" s="907"/>
      <c r="AN5" s="907"/>
      <c r="AO5" s="907"/>
      <c r="AP5" s="907"/>
      <c r="AQ5" s="907"/>
      <c r="AR5" s="907"/>
      <c r="AS5" s="907"/>
      <c r="AT5" s="907"/>
      <c r="AU5" s="907"/>
      <c r="AV5" s="907"/>
      <c r="AW5" s="907"/>
      <c r="AX5" s="907"/>
      <c r="AY5" s="907"/>
      <c r="AZ5" s="907"/>
      <c r="BA5" s="907"/>
      <c r="BB5" s="907"/>
      <c r="BC5" s="907"/>
      <c r="BD5" s="907"/>
      <c r="BE5" s="907"/>
      <c r="BF5" s="907"/>
      <c r="BG5" s="907"/>
      <c r="BH5" s="907"/>
      <c r="BI5" s="907"/>
      <c r="BJ5" s="907"/>
      <c r="BK5" s="907"/>
      <c r="BL5" s="907"/>
    </row>
    <row r="6" spans="1:64" s="43" customFormat="1" ht="14.25" customHeight="1">
      <c r="A6" s="6"/>
      <c r="B6" s="9"/>
      <c r="C6" s="74"/>
      <c r="D6" s="410"/>
      <c r="E6" s="410"/>
      <c r="F6" s="410"/>
      <c r="G6" s="410"/>
      <c r="H6" s="410"/>
      <c r="I6" s="410"/>
      <c r="J6" s="410"/>
      <c r="K6" s="410"/>
      <c r="T6" s="892"/>
      <c r="AJ6" s="907"/>
      <c r="AK6" s="908"/>
      <c r="AL6" s="907"/>
      <c r="AM6" s="907"/>
      <c r="AN6" s="907"/>
      <c r="AO6" s="907"/>
      <c r="AP6" s="907"/>
      <c r="AQ6" s="907"/>
      <c r="AR6" s="907"/>
      <c r="AS6" s="907"/>
      <c r="AT6" s="907"/>
      <c r="AU6" s="907"/>
      <c r="AV6" s="907"/>
      <c r="AW6" s="907"/>
      <c r="AX6" s="907"/>
      <c r="AY6" s="907"/>
      <c r="AZ6" s="907"/>
      <c r="BA6" s="907"/>
      <c r="BB6" s="907"/>
      <c r="BC6" s="907"/>
      <c r="BD6" s="907"/>
      <c r="BE6" s="907"/>
      <c r="BF6" s="907"/>
      <c r="BG6" s="907"/>
      <c r="BH6" s="907"/>
      <c r="BI6" s="907"/>
      <c r="BJ6" s="907"/>
      <c r="BK6" s="907"/>
      <c r="BL6" s="907"/>
    </row>
    <row r="7" spans="1:64" s="101" customFormat="1" ht="0.75" customHeight="1">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row>
    <row r="8" spans="1:64" ht="31.5" customHeight="1">
      <c r="D8" s="1082" t="s">
        <v>88</v>
      </c>
      <c r="E8" s="1082" t="s">
        <v>115</v>
      </c>
      <c r="F8" s="1146" t="s">
        <v>138</v>
      </c>
      <c r="G8" s="1147"/>
      <c r="H8" s="1146" t="s">
        <v>88</v>
      </c>
      <c r="I8" s="1147"/>
      <c r="J8" s="1082" t="s">
        <v>139</v>
      </c>
      <c r="K8" s="893"/>
      <c r="L8" s="1145" t="s">
        <v>285</v>
      </c>
      <c r="M8" s="1145"/>
      <c r="N8" s="1145"/>
      <c r="O8" s="1145"/>
      <c r="P8" s="1145"/>
      <c r="Q8" s="894"/>
      <c r="R8" s="1063" t="s">
        <v>286</v>
      </c>
      <c r="S8" s="1068"/>
      <c r="T8" s="1068"/>
      <c r="U8" s="1068"/>
      <c r="V8" s="1068"/>
      <c r="W8" s="894"/>
      <c r="X8" s="1082" t="s">
        <v>287</v>
      </c>
      <c r="Y8" s="1082"/>
      <c r="Z8" s="1082"/>
      <c r="AA8" s="1082"/>
      <c r="AB8" s="1082"/>
      <c r="AC8" s="349"/>
      <c r="AD8" s="1082" t="s">
        <v>288</v>
      </c>
      <c r="AE8" s="1082"/>
      <c r="AF8" s="1082"/>
      <c r="AG8" s="1082"/>
      <c r="AH8" s="1063"/>
      <c r="AI8" s="1082" t="s">
        <v>289</v>
      </c>
    </row>
    <row r="9" spans="1:64" ht="22.5" customHeight="1">
      <c r="D9" s="1082"/>
      <c r="E9" s="1082"/>
      <c r="F9" s="1145" t="s">
        <v>89</v>
      </c>
      <c r="G9" s="1145" t="s">
        <v>144</v>
      </c>
      <c r="H9" s="1148"/>
      <c r="I9" s="1149"/>
      <c r="J9" s="1063"/>
      <c r="K9" s="895"/>
      <c r="L9" s="1082" t="s">
        <v>290</v>
      </c>
      <c r="M9" s="1063"/>
      <c r="N9" s="1146" t="s">
        <v>88</v>
      </c>
      <c r="O9" s="1147"/>
      <c r="P9" s="1082" t="s">
        <v>145</v>
      </c>
      <c r="Q9" s="893"/>
      <c r="R9" s="1082" t="s">
        <v>290</v>
      </c>
      <c r="S9" s="1063"/>
      <c r="T9" s="1146" t="s">
        <v>88</v>
      </c>
      <c r="U9" s="1147"/>
      <c r="V9" s="1082" t="s">
        <v>145</v>
      </c>
      <c r="W9" s="893"/>
      <c r="X9" s="1082" t="s">
        <v>290</v>
      </c>
      <c r="Y9" s="1063"/>
      <c r="Z9" s="1146" t="s">
        <v>88</v>
      </c>
      <c r="AA9" s="1147"/>
      <c r="AB9" s="1082" t="s">
        <v>291</v>
      </c>
      <c r="AC9" s="893"/>
      <c r="AD9" s="1082" t="s">
        <v>290</v>
      </c>
      <c r="AE9" s="1063"/>
      <c r="AF9" s="1146" t="s">
        <v>88</v>
      </c>
      <c r="AG9" s="1147"/>
      <c r="AH9" s="1063" t="s">
        <v>291</v>
      </c>
      <c r="AI9" s="1082"/>
    </row>
    <row r="10" spans="1:64" ht="22.5" customHeight="1">
      <c r="D10" s="1145"/>
      <c r="E10" s="1145"/>
      <c r="F10" s="1150"/>
      <c r="G10" s="1150"/>
      <c r="H10" s="1151"/>
      <c r="I10" s="1152"/>
      <c r="J10" s="1146"/>
      <c r="K10" s="895"/>
      <c r="L10" s="349" t="s">
        <v>292</v>
      </c>
      <c r="M10" s="894" t="s">
        <v>293</v>
      </c>
      <c r="N10" s="1148"/>
      <c r="O10" s="1149"/>
      <c r="P10" s="1145"/>
      <c r="Q10" s="893"/>
      <c r="R10" s="349" t="s">
        <v>292</v>
      </c>
      <c r="S10" s="894" t="s">
        <v>293</v>
      </c>
      <c r="T10" s="1148"/>
      <c r="U10" s="1149"/>
      <c r="V10" s="1145"/>
      <c r="W10" s="893"/>
      <c r="X10" s="349" t="s">
        <v>292</v>
      </c>
      <c r="Y10" s="894" t="s">
        <v>293</v>
      </c>
      <c r="Z10" s="1148"/>
      <c r="AA10" s="1149"/>
      <c r="AB10" s="1145"/>
      <c r="AC10" s="893"/>
      <c r="AD10" s="349" t="s">
        <v>292</v>
      </c>
      <c r="AE10" s="894" t="s">
        <v>293</v>
      </c>
      <c r="AF10" s="1148"/>
      <c r="AG10" s="1149"/>
      <c r="AH10" s="1146"/>
      <c r="AI10" s="1145"/>
      <c r="AK10" s="2" t="s">
        <v>294</v>
      </c>
      <c r="AL10" s="2" t="s">
        <v>146</v>
      </c>
    </row>
    <row r="11" spans="1:64" ht="14.25" customHeight="1">
      <c r="D11" s="1153" t="s">
        <v>119</v>
      </c>
      <c r="E11" s="1155" t="s">
        <v>295</v>
      </c>
      <c r="F11" s="1155" t="s">
        <v>296</v>
      </c>
      <c r="G11" s="1158" t="s">
        <v>57</v>
      </c>
      <c r="H11" s="916"/>
      <c r="I11" s="1160"/>
      <c r="J11" s="1122"/>
      <c r="K11" s="857"/>
      <c r="L11" s="1110"/>
      <c r="M11" s="1110"/>
      <c r="N11" s="910"/>
      <c r="O11" s="1110"/>
      <c r="P11" s="1122"/>
      <c r="Q11" s="857"/>
      <c r="R11" s="1110"/>
      <c r="S11" s="1110"/>
      <c r="T11" s="911"/>
      <c r="U11" s="1110"/>
      <c r="V11" s="1122"/>
      <c r="W11" s="828"/>
      <c r="X11" s="1110"/>
      <c r="Y11" s="1110"/>
      <c r="Z11" s="910"/>
      <c r="AA11" s="1110"/>
      <c r="AB11" s="1122"/>
      <c r="AC11" s="912"/>
      <c r="AD11" s="1110"/>
      <c r="AE11" s="1110"/>
      <c r="AF11" s="828"/>
      <c r="AG11" s="828"/>
      <c r="AH11" s="910"/>
      <c r="AI11" s="771"/>
    </row>
    <row r="12" spans="1:64" ht="14.25" customHeight="1">
      <c r="D12" s="1153"/>
      <c r="E12" s="1155"/>
      <c r="F12" s="1155"/>
      <c r="G12" s="1159"/>
      <c r="H12" s="917"/>
      <c r="I12" s="1161"/>
      <c r="J12" s="1123"/>
      <c r="K12" s="351"/>
      <c r="L12" s="1111"/>
      <c r="M12" s="1111"/>
      <c r="N12" s="32"/>
      <c r="O12" s="1111"/>
      <c r="P12" s="1123"/>
      <c r="Q12" s="391"/>
      <c r="R12" s="1111"/>
      <c r="S12" s="1111"/>
      <c r="T12" s="913"/>
      <c r="U12" s="1111"/>
      <c r="V12" s="1123"/>
      <c r="W12" s="53"/>
      <c r="X12" s="1111"/>
      <c r="Y12" s="1111"/>
      <c r="Z12" s="32"/>
      <c r="AA12" s="1111"/>
      <c r="AB12" s="1123"/>
      <c r="AC12" s="351"/>
      <c r="AD12" s="1111"/>
      <c r="AE12" s="1111"/>
      <c r="AF12" s="772"/>
      <c r="AG12" s="772"/>
      <c r="AH12" s="1164"/>
      <c r="AI12" s="1165"/>
    </row>
    <row r="13" spans="1:64" ht="14.25" customHeight="1">
      <c r="D13" s="1153"/>
      <c r="E13" s="1155"/>
      <c r="F13" s="1155"/>
      <c r="G13" s="1159"/>
      <c r="H13" s="917"/>
      <c r="I13" s="1161"/>
      <c r="J13" s="1123"/>
      <c r="K13" s="351"/>
      <c r="L13" s="1111"/>
      <c r="M13" s="1111"/>
      <c r="N13" s="32"/>
      <c r="O13" s="1111"/>
      <c r="P13" s="1123"/>
      <c r="Q13" s="391"/>
      <c r="R13" s="1111"/>
      <c r="S13" s="1111"/>
      <c r="T13" s="913"/>
      <c r="U13" s="1111"/>
      <c r="V13" s="1123"/>
      <c r="W13" s="53"/>
      <c r="X13" s="1111"/>
      <c r="Y13" s="1111"/>
      <c r="Z13" s="53"/>
      <c r="AA13" s="772"/>
      <c r="AB13" s="1164"/>
      <c r="AC13" s="1164"/>
      <c r="AD13" s="1164"/>
      <c r="AE13" s="1164"/>
      <c r="AF13" s="1164"/>
      <c r="AG13" s="1164"/>
      <c r="AH13" s="1164"/>
      <c r="AI13" s="1165"/>
    </row>
    <row r="14" spans="1:64" ht="14.25" customHeight="1">
      <c r="D14" s="1153"/>
      <c r="E14" s="1155"/>
      <c r="F14" s="1155"/>
      <c r="G14" s="1159"/>
      <c r="H14" s="917"/>
      <c r="I14" s="1161"/>
      <c r="J14" s="1123"/>
      <c r="K14" s="351"/>
      <c r="L14" s="1111"/>
      <c r="M14" s="1111"/>
      <c r="N14" s="32"/>
      <c r="O14" s="1111"/>
      <c r="P14" s="1123"/>
      <c r="Q14" s="391"/>
      <c r="R14" s="1111"/>
      <c r="S14" s="1111"/>
      <c r="T14" s="48"/>
      <c r="U14" s="914"/>
      <c r="V14" s="1164"/>
      <c r="W14" s="1164"/>
      <c r="X14" s="1164"/>
      <c r="Y14" s="1164"/>
      <c r="Z14" s="1164"/>
      <c r="AA14" s="1164"/>
      <c r="AB14" s="1164"/>
      <c r="AC14" s="1164"/>
      <c r="AD14" s="1164"/>
      <c r="AE14" s="1164"/>
      <c r="AF14" s="1164"/>
      <c r="AG14" s="1164"/>
      <c r="AH14" s="1164"/>
      <c r="AI14" s="1165"/>
    </row>
    <row r="15" spans="1:64" ht="11.25" customHeight="1">
      <c r="D15" s="1153"/>
      <c r="E15" s="1155"/>
      <c r="F15" s="1155"/>
      <c r="G15" s="1159"/>
      <c r="H15" s="918"/>
      <c r="I15" s="1161"/>
      <c r="J15" s="1123"/>
      <c r="K15" s="351"/>
      <c r="L15" s="1111"/>
      <c r="M15" s="1111"/>
      <c r="N15" s="772"/>
      <c r="O15" s="772"/>
      <c r="P15" s="1164"/>
      <c r="Q15" s="1164"/>
      <c r="R15" s="1164"/>
      <c r="S15" s="1164"/>
      <c r="T15" s="1164"/>
      <c r="U15" s="1164"/>
      <c r="V15" s="1164"/>
      <c r="W15" s="1164"/>
      <c r="X15" s="1164"/>
      <c r="Y15" s="1164"/>
      <c r="Z15" s="1164"/>
      <c r="AA15" s="1164"/>
      <c r="AB15" s="1164"/>
      <c r="AC15" s="1164"/>
      <c r="AD15" s="1164"/>
      <c r="AE15" s="1164"/>
      <c r="AF15" s="1164"/>
      <c r="AG15" s="1164"/>
      <c r="AH15" s="1164"/>
      <c r="AI15" s="1165"/>
    </row>
    <row r="16" spans="1:64" s="891" customFormat="1" ht="11.25" customHeight="1">
      <c r="D16" s="1154"/>
      <c r="E16" s="1156"/>
      <c r="F16" s="1157"/>
      <c r="G16" s="1098"/>
      <c r="H16" s="915"/>
      <c r="I16" s="919"/>
      <c r="J16" s="1162"/>
      <c r="K16" s="1162"/>
      <c r="L16" s="1162"/>
      <c r="M16" s="1162"/>
      <c r="N16" s="1162"/>
      <c r="O16" s="1162"/>
      <c r="P16" s="1162"/>
      <c r="Q16" s="1162"/>
      <c r="R16" s="1162"/>
      <c r="S16" s="1162"/>
      <c r="T16" s="1162"/>
      <c r="U16" s="1162"/>
      <c r="V16" s="1162"/>
      <c r="W16" s="1162"/>
      <c r="X16" s="1162"/>
      <c r="Y16" s="1162"/>
      <c r="Z16" s="1162"/>
      <c r="AA16" s="1162"/>
      <c r="AB16" s="1162"/>
      <c r="AC16" s="1162"/>
      <c r="AD16" s="1162"/>
      <c r="AE16" s="1162"/>
      <c r="AF16" s="1162"/>
      <c r="AG16" s="1162"/>
      <c r="AH16" s="1162"/>
      <c r="AI16" s="1163"/>
      <c r="AJ16"/>
      <c r="AK16" s="44"/>
      <c r="AL16"/>
      <c r="AM16"/>
      <c r="AN16"/>
      <c r="AO16"/>
      <c r="AP16"/>
      <c r="AQ16"/>
      <c r="AR16"/>
      <c r="AS16"/>
      <c r="AT16"/>
      <c r="AU16"/>
      <c r="AV16"/>
      <c r="AW16"/>
      <c r="AX16"/>
      <c r="AY16"/>
      <c r="AZ16"/>
      <c r="BA16"/>
      <c r="BB16"/>
      <c r="BC16"/>
      <c r="BD16"/>
      <c r="BE16"/>
      <c r="BF16"/>
      <c r="BG16"/>
      <c r="BH16"/>
      <c r="BI16"/>
      <c r="BJ16"/>
      <c r="BK16"/>
      <c r="BL16"/>
    </row>
    <row r="17" spans="4:64" ht="14.25" customHeight="1">
      <c r="D17" s="1153" t="s">
        <v>103</v>
      </c>
      <c r="E17" s="1155" t="s">
        <v>295</v>
      </c>
      <c r="F17" s="1155" t="s">
        <v>297</v>
      </c>
      <c r="G17" s="1158" t="s">
        <v>57</v>
      </c>
      <c r="H17" s="916"/>
      <c r="I17" s="1160"/>
      <c r="J17" s="1122"/>
      <c r="K17" s="857"/>
      <c r="L17" s="1110"/>
      <c r="M17" s="1110"/>
      <c r="N17" s="910"/>
      <c r="O17" s="1110"/>
      <c r="P17" s="1122"/>
      <c r="Q17" s="857"/>
      <c r="R17" s="1110"/>
      <c r="S17" s="1110"/>
      <c r="T17" s="911"/>
      <c r="U17" s="1110"/>
      <c r="V17" s="1122"/>
      <c r="W17" s="828"/>
      <c r="X17" s="1110"/>
      <c r="Y17" s="1110"/>
      <c r="Z17" s="910"/>
      <c r="AA17" s="1110"/>
      <c r="AB17" s="1122"/>
      <c r="AC17" s="912"/>
      <c r="AD17" s="1110"/>
      <c r="AE17" s="1110"/>
      <c r="AF17" s="828"/>
      <c r="AG17" s="828"/>
      <c r="AH17" s="910"/>
      <c r="AI17" s="771"/>
    </row>
    <row r="18" spans="4:64" ht="14.25" customHeight="1">
      <c r="D18" s="1153"/>
      <c r="E18" s="1155"/>
      <c r="F18" s="1155"/>
      <c r="G18" s="1159"/>
      <c r="H18" s="917"/>
      <c r="I18" s="1161"/>
      <c r="J18" s="1123"/>
      <c r="K18" s="351"/>
      <c r="L18" s="1111"/>
      <c r="M18" s="1111"/>
      <c r="N18" s="32"/>
      <c r="O18" s="1111"/>
      <c r="P18" s="1123"/>
      <c r="Q18" s="391"/>
      <c r="R18" s="1111"/>
      <c r="S18" s="1111"/>
      <c r="T18" s="913"/>
      <c r="U18" s="1111"/>
      <c r="V18" s="1123"/>
      <c r="W18" s="53"/>
      <c r="X18" s="1111"/>
      <c r="Y18" s="1111"/>
      <c r="Z18" s="32"/>
      <c r="AA18" s="1111"/>
      <c r="AB18" s="1123"/>
      <c r="AC18" s="351"/>
      <c r="AD18" s="1111"/>
      <c r="AE18" s="1111"/>
      <c r="AF18" s="772"/>
      <c r="AG18" s="772"/>
      <c r="AH18" s="1164"/>
      <c r="AI18" s="1165"/>
    </row>
    <row r="19" spans="4:64" ht="14.25" customHeight="1">
      <c r="D19" s="1153"/>
      <c r="E19" s="1155"/>
      <c r="F19" s="1155"/>
      <c r="G19" s="1159"/>
      <c r="H19" s="917"/>
      <c r="I19" s="1161"/>
      <c r="J19" s="1123"/>
      <c r="K19" s="351"/>
      <c r="L19" s="1111"/>
      <c r="M19" s="1111"/>
      <c r="N19" s="32"/>
      <c r="O19" s="1111"/>
      <c r="P19" s="1123"/>
      <c r="Q19" s="391"/>
      <c r="R19" s="1111"/>
      <c r="S19" s="1111"/>
      <c r="T19" s="913"/>
      <c r="U19" s="1111"/>
      <c r="V19" s="1123"/>
      <c r="W19" s="53"/>
      <c r="X19" s="1111"/>
      <c r="Y19" s="1111"/>
      <c r="Z19" s="53"/>
      <c r="AA19" s="772"/>
      <c r="AB19" s="1164"/>
      <c r="AC19" s="1164"/>
      <c r="AD19" s="1164"/>
      <c r="AE19" s="1164"/>
      <c r="AF19" s="1164"/>
      <c r="AG19" s="1164"/>
      <c r="AH19" s="1164"/>
      <c r="AI19" s="1165"/>
    </row>
    <row r="20" spans="4:64" ht="14.25" customHeight="1">
      <c r="D20" s="1153"/>
      <c r="E20" s="1155"/>
      <c r="F20" s="1155"/>
      <c r="G20" s="1159"/>
      <c r="H20" s="917"/>
      <c r="I20" s="1161"/>
      <c r="J20" s="1123"/>
      <c r="K20" s="351"/>
      <c r="L20" s="1111"/>
      <c r="M20" s="1111"/>
      <c r="N20" s="32"/>
      <c r="O20" s="1111"/>
      <c r="P20" s="1123"/>
      <c r="Q20" s="391"/>
      <c r="R20" s="1111"/>
      <c r="S20" s="1111"/>
      <c r="T20" s="48"/>
      <c r="U20" s="914"/>
      <c r="V20" s="1164"/>
      <c r="W20" s="1164"/>
      <c r="X20" s="1164"/>
      <c r="Y20" s="1164"/>
      <c r="Z20" s="1164"/>
      <c r="AA20" s="1164"/>
      <c r="AB20" s="1164"/>
      <c r="AC20" s="1164"/>
      <c r="AD20" s="1164"/>
      <c r="AE20" s="1164"/>
      <c r="AF20" s="1164"/>
      <c r="AG20" s="1164"/>
      <c r="AH20" s="1164"/>
      <c r="AI20" s="1165"/>
    </row>
    <row r="21" spans="4:64" ht="11.25" customHeight="1">
      <c r="D21" s="1153"/>
      <c r="E21" s="1155"/>
      <c r="F21" s="1155"/>
      <c r="G21" s="1159"/>
      <c r="H21" s="918"/>
      <c r="I21" s="1161"/>
      <c r="J21" s="1123"/>
      <c r="K21" s="351"/>
      <c r="L21" s="1111"/>
      <c r="M21" s="1111"/>
      <c r="N21" s="772"/>
      <c r="O21" s="772"/>
      <c r="P21" s="1164"/>
      <c r="Q21" s="1164"/>
      <c r="R21" s="1164"/>
      <c r="S21" s="1164"/>
      <c r="T21" s="1164"/>
      <c r="U21" s="1164"/>
      <c r="V21" s="1164"/>
      <c r="W21" s="1164"/>
      <c r="X21" s="1164"/>
      <c r="Y21" s="1164"/>
      <c r="Z21" s="1164"/>
      <c r="AA21" s="1164"/>
      <c r="AB21" s="1164"/>
      <c r="AC21" s="1164"/>
      <c r="AD21" s="1164"/>
      <c r="AE21" s="1164"/>
      <c r="AF21" s="1164"/>
      <c r="AG21" s="1164"/>
      <c r="AH21" s="1164"/>
      <c r="AI21" s="1165"/>
    </row>
    <row r="22" spans="4:64" s="891" customFormat="1" ht="11.25" customHeight="1">
      <c r="D22" s="1154"/>
      <c r="E22" s="1156"/>
      <c r="F22" s="1157"/>
      <c r="G22" s="1098"/>
      <c r="H22" s="915"/>
      <c r="I22" s="919"/>
      <c r="J22" s="1162"/>
      <c r="K22" s="1162"/>
      <c r="L22" s="1162"/>
      <c r="M22" s="1162"/>
      <c r="N22" s="1162"/>
      <c r="O22" s="1162"/>
      <c r="P22" s="1162"/>
      <c r="Q22" s="1162"/>
      <c r="R22" s="1162"/>
      <c r="S22" s="1162"/>
      <c r="T22" s="1162"/>
      <c r="U22" s="1162"/>
      <c r="V22" s="1162"/>
      <c r="W22" s="1162"/>
      <c r="X22" s="1162"/>
      <c r="Y22" s="1162"/>
      <c r="Z22" s="1162"/>
      <c r="AA22" s="1162"/>
      <c r="AB22" s="1162"/>
      <c r="AC22" s="1162"/>
      <c r="AD22" s="1162"/>
      <c r="AE22" s="1162"/>
      <c r="AF22" s="1162"/>
      <c r="AG22" s="1162"/>
      <c r="AH22" s="1162"/>
      <c r="AI22" s="1163"/>
      <c r="AJ22"/>
      <c r="AK22" s="44"/>
      <c r="AL22"/>
      <c r="AM22"/>
      <c r="AN22"/>
      <c r="AO22"/>
      <c r="AP22"/>
      <c r="AQ22"/>
      <c r="AR22"/>
      <c r="AS22"/>
      <c r="AT22"/>
      <c r="AU22"/>
      <c r="AV22"/>
      <c r="AW22"/>
      <c r="AX22"/>
      <c r="AY22"/>
      <c r="AZ22"/>
      <c r="BA22"/>
      <c r="BB22"/>
      <c r="BC22"/>
      <c r="BD22"/>
      <c r="BE22"/>
      <c r="BF22"/>
      <c r="BG22"/>
      <c r="BH22"/>
      <c r="BI22"/>
      <c r="BJ22"/>
      <c r="BK22"/>
      <c r="BL22"/>
    </row>
    <row r="23" spans="4:64" ht="14.25" customHeight="1">
      <c r="D23" s="1153" t="s">
        <v>90</v>
      </c>
      <c r="E23" s="1155" t="s">
        <v>295</v>
      </c>
      <c r="F23" s="1155" t="s">
        <v>298</v>
      </c>
      <c r="G23" s="1158" t="s">
        <v>57</v>
      </c>
      <c r="H23" s="916"/>
      <c r="I23" s="1160"/>
      <c r="J23" s="1122"/>
      <c r="K23" s="857"/>
      <c r="L23" s="1110"/>
      <c r="M23" s="1110"/>
      <c r="N23" s="910"/>
      <c r="O23" s="1110"/>
      <c r="P23" s="1122"/>
      <c r="Q23" s="857"/>
      <c r="R23" s="1110"/>
      <c r="S23" s="1110"/>
      <c r="T23" s="911"/>
      <c r="U23" s="1110"/>
      <c r="V23" s="1122"/>
      <c r="W23" s="828"/>
      <c r="X23" s="1110"/>
      <c r="Y23" s="1110"/>
      <c r="Z23" s="910"/>
      <c r="AA23" s="1110"/>
      <c r="AB23" s="1122"/>
      <c r="AC23" s="912"/>
      <c r="AD23" s="1110"/>
      <c r="AE23" s="1110"/>
      <c r="AF23" s="828"/>
      <c r="AG23" s="828"/>
      <c r="AH23" s="910"/>
      <c r="AI23" s="771"/>
      <c r="AK23" s="44" t="s">
        <v>98</v>
      </c>
    </row>
    <row r="24" spans="4:64" ht="14.25" customHeight="1">
      <c r="D24" s="1153"/>
      <c r="E24" s="1155"/>
      <c r="F24" s="1155"/>
      <c r="G24" s="1159"/>
      <c r="H24" s="917"/>
      <c r="I24" s="1161"/>
      <c r="J24" s="1123"/>
      <c r="K24" s="351"/>
      <c r="L24" s="1111"/>
      <c r="M24" s="1111"/>
      <c r="N24" s="32"/>
      <c r="O24" s="1111"/>
      <c r="P24" s="1123"/>
      <c r="Q24" s="391"/>
      <c r="R24" s="1111"/>
      <c r="S24" s="1111"/>
      <c r="T24" s="913"/>
      <c r="U24" s="1111"/>
      <c r="V24" s="1123"/>
      <c r="W24" s="53"/>
      <c r="X24" s="1111"/>
      <c r="Y24" s="1111"/>
      <c r="Z24" s="32"/>
      <c r="AA24" s="1111"/>
      <c r="AB24" s="1123"/>
      <c r="AC24" s="351"/>
      <c r="AD24" s="1111"/>
      <c r="AE24" s="1111"/>
      <c r="AF24" s="772"/>
      <c r="AG24" s="772"/>
      <c r="AH24" s="1164"/>
      <c r="AI24" s="1165"/>
    </row>
    <row r="25" spans="4:64" ht="14.25" customHeight="1">
      <c r="D25" s="1153"/>
      <c r="E25" s="1155"/>
      <c r="F25" s="1155"/>
      <c r="G25" s="1159"/>
      <c r="H25" s="917"/>
      <c r="I25" s="1161"/>
      <c r="J25" s="1123"/>
      <c r="K25" s="351"/>
      <c r="L25" s="1111"/>
      <c r="M25" s="1111"/>
      <c r="N25" s="32"/>
      <c r="O25" s="1111"/>
      <c r="P25" s="1123"/>
      <c r="Q25" s="391"/>
      <c r="R25" s="1111"/>
      <c r="S25" s="1111"/>
      <c r="T25" s="913"/>
      <c r="U25" s="1111"/>
      <c r="V25" s="1123"/>
      <c r="W25" s="53"/>
      <c r="X25" s="1111"/>
      <c r="Y25" s="1111"/>
      <c r="Z25" s="53"/>
      <c r="AA25" s="772"/>
      <c r="AB25" s="1164"/>
      <c r="AC25" s="1164"/>
      <c r="AD25" s="1164"/>
      <c r="AE25" s="1164"/>
      <c r="AF25" s="1164"/>
      <c r="AG25" s="1164"/>
      <c r="AH25" s="1164"/>
      <c r="AI25" s="1165"/>
    </row>
    <row r="26" spans="4:64" ht="14.25" customHeight="1">
      <c r="D26" s="1153"/>
      <c r="E26" s="1155"/>
      <c r="F26" s="1155"/>
      <c r="G26" s="1159"/>
      <c r="H26" s="917"/>
      <c r="I26" s="1161"/>
      <c r="J26" s="1123"/>
      <c r="K26" s="351"/>
      <c r="L26" s="1111"/>
      <c r="M26" s="1111"/>
      <c r="N26" s="32"/>
      <c r="O26" s="1111"/>
      <c r="P26" s="1123"/>
      <c r="Q26" s="391"/>
      <c r="R26" s="1111"/>
      <c r="S26" s="1111"/>
      <c r="T26" s="48"/>
      <c r="U26" s="914"/>
      <c r="V26" s="1164"/>
      <c r="W26" s="1164"/>
      <c r="X26" s="1164"/>
      <c r="Y26" s="1164"/>
      <c r="Z26" s="1164"/>
      <c r="AA26" s="1164"/>
      <c r="AB26" s="1164"/>
      <c r="AC26" s="1164"/>
      <c r="AD26" s="1164"/>
      <c r="AE26" s="1164"/>
      <c r="AF26" s="1164"/>
      <c r="AG26" s="1164"/>
      <c r="AH26" s="1164"/>
      <c r="AI26" s="1165"/>
    </row>
    <row r="27" spans="4:64" ht="11.25" customHeight="1">
      <c r="D27" s="1153"/>
      <c r="E27" s="1155"/>
      <c r="F27" s="1155"/>
      <c r="G27" s="1159"/>
      <c r="H27" s="918"/>
      <c r="I27" s="1161"/>
      <c r="J27" s="1123"/>
      <c r="K27" s="351"/>
      <c r="L27" s="1111"/>
      <c r="M27" s="1111"/>
      <c r="N27" s="772"/>
      <c r="O27" s="772"/>
      <c r="P27" s="1164"/>
      <c r="Q27" s="1164"/>
      <c r="R27" s="1164"/>
      <c r="S27" s="1164"/>
      <c r="T27" s="1164"/>
      <c r="U27" s="1164"/>
      <c r="V27" s="1164"/>
      <c r="W27" s="1164"/>
      <c r="X27" s="1164"/>
      <c r="Y27" s="1164"/>
      <c r="Z27" s="1164"/>
      <c r="AA27" s="1164"/>
      <c r="AB27" s="1164"/>
      <c r="AC27" s="1164"/>
      <c r="AD27" s="1164"/>
      <c r="AE27" s="1164"/>
      <c r="AF27" s="1164"/>
      <c r="AG27" s="1164"/>
      <c r="AH27" s="1164"/>
      <c r="AI27" s="1165"/>
    </row>
    <row r="28" spans="4:64" s="891" customFormat="1" ht="11.25" customHeight="1">
      <c r="D28" s="1154"/>
      <c r="E28" s="1156"/>
      <c r="F28" s="1157"/>
      <c r="G28" s="1098"/>
      <c r="H28" s="915"/>
      <c r="I28" s="919"/>
      <c r="J28" s="1162"/>
      <c r="K28" s="1162"/>
      <c r="L28" s="1162"/>
      <c r="M28" s="1162"/>
      <c r="N28" s="1162"/>
      <c r="O28" s="1162"/>
      <c r="P28" s="1162"/>
      <c r="Q28" s="1162"/>
      <c r="R28" s="1162"/>
      <c r="S28" s="1162"/>
      <c r="T28" s="1162"/>
      <c r="U28" s="1162"/>
      <c r="V28" s="1162"/>
      <c r="W28" s="1162"/>
      <c r="X28" s="1162"/>
      <c r="Y28" s="1162"/>
      <c r="Z28" s="1162"/>
      <c r="AA28" s="1162"/>
      <c r="AB28" s="1162"/>
      <c r="AC28" s="1162"/>
      <c r="AD28" s="1162"/>
      <c r="AE28" s="1162"/>
      <c r="AF28" s="1162"/>
      <c r="AG28" s="1162"/>
      <c r="AH28" s="1162"/>
      <c r="AI28" s="1163"/>
      <c r="AJ28"/>
      <c r="AK28" s="44"/>
      <c r="AL28"/>
      <c r="AM28"/>
      <c r="AN28"/>
      <c r="AO28"/>
      <c r="AP28"/>
      <c r="AQ28"/>
      <c r="AR28"/>
      <c r="AS28"/>
      <c r="AT28"/>
      <c r="AU28"/>
      <c r="AV28"/>
      <c r="AW28"/>
      <c r="AX28"/>
      <c r="AY28"/>
      <c r="AZ28"/>
      <c r="BA28"/>
      <c r="BB28"/>
      <c r="BC28"/>
      <c r="BD28"/>
      <c r="BE28"/>
      <c r="BF28"/>
      <c r="BG28"/>
      <c r="BH28"/>
      <c r="BI28"/>
      <c r="BJ28"/>
      <c r="BK28"/>
      <c r="BL28"/>
    </row>
    <row r="29" spans="4:64" ht="14.25" customHeight="1">
      <c r="D29" s="1153" t="s">
        <v>91</v>
      </c>
      <c r="E29" s="1155" t="s">
        <v>295</v>
      </c>
      <c r="F29" s="1155" t="s">
        <v>299</v>
      </c>
      <c r="G29" s="1158" t="s">
        <v>57</v>
      </c>
      <c r="H29" s="916"/>
      <c r="I29" s="1160"/>
      <c r="J29" s="1122"/>
      <c r="K29" s="857"/>
      <c r="L29" s="1110"/>
      <c r="M29" s="1110"/>
      <c r="N29" s="910"/>
      <c r="O29" s="1110"/>
      <c r="P29" s="1122"/>
      <c r="Q29" s="857"/>
      <c r="R29" s="1110"/>
      <c r="S29" s="1110"/>
      <c r="T29" s="911"/>
      <c r="U29" s="1110"/>
      <c r="V29" s="1122"/>
      <c r="W29" s="828"/>
      <c r="X29" s="1110"/>
      <c r="Y29" s="1110"/>
      <c r="Z29" s="910"/>
      <c r="AA29" s="1110"/>
      <c r="AB29" s="1122"/>
      <c r="AC29" s="912"/>
      <c r="AD29" s="1110"/>
      <c r="AE29" s="1110"/>
      <c r="AF29" s="828"/>
      <c r="AG29" s="828"/>
      <c r="AH29" s="910"/>
      <c r="AI29" s="771"/>
    </row>
    <row r="30" spans="4:64" ht="14.25" customHeight="1">
      <c r="D30" s="1153"/>
      <c r="E30" s="1155"/>
      <c r="F30" s="1155"/>
      <c r="G30" s="1159"/>
      <c r="H30" s="917"/>
      <c r="I30" s="1161"/>
      <c r="J30" s="1123"/>
      <c r="K30" s="351"/>
      <c r="L30" s="1111"/>
      <c r="M30" s="1111"/>
      <c r="N30" s="32"/>
      <c r="O30" s="1111"/>
      <c r="P30" s="1123"/>
      <c r="Q30" s="391"/>
      <c r="R30" s="1111"/>
      <c r="S30" s="1111"/>
      <c r="T30" s="913"/>
      <c r="U30" s="1111"/>
      <c r="V30" s="1123"/>
      <c r="W30" s="53"/>
      <c r="X30" s="1111"/>
      <c r="Y30" s="1111"/>
      <c r="Z30" s="32"/>
      <c r="AA30" s="1111"/>
      <c r="AB30" s="1123"/>
      <c r="AC30" s="351"/>
      <c r="AD30" s="1111"/>
      <c r="AE30" s="1111"/>
      <c r="AF30" s="772"/>
      <c r="AG30" s="772"/>
      <c r="AH30" s="1164"/>
      <c r="AI30" s="1165"/>
    </row>
    <row r="31" spans="4:64" ht="14.25" customHeight="1">
      <c r="D31" s="1153"/>
      <c r="E31" s="1155"/>
      <c r="F31" s="1155"/>
      <c r="G31" s="1159"/>
      <c r="H31" s="917"/>
      <c r="I31" s="1161"/>
      <c r="J31" s="1123"/>
      <c r="K31" s="351"/>
      <c r="L31" s="1111"/>
      <c r="M31" s="1111"/>
      <c r="N31" s="32"/>
      <c r="O31" s="1111"/>
      <c r="P31" s="1123"/>
      <c r="Q31" s="391"/>
      <c r="R31" s="1111"/>
      <c r="S31" s="1111"/>
      <c r="T31" s="913"/>
      <c r="U31" s="1111"/>
      <c r="V31" s="1123"/>
      <c r="W31" s="53"/>
      <c r="X31" s="1111"/>
      <c r="Y31" s="1111"/>
      <c r="Z31" s="53"/>
      <c r="AA31" s="772"/>
      <c r="AB31" s="1164"/>
      <c r="AC31" s="1164"/>
      <c r="AD31" s="1164"/>
      <c r="AE31" s="1164"/>
      <c r="AF31" s="1164"/>
      <c r="AG31" s="1164"/>
      <c r="AH31" s="1164"/>
      <c r="AI31" s="1165"/>
    </row>
    <row r="32" spans="4:64" ht="14.25" customHeight="1">
      <c r="D32" s="1153"/>
      <c r="E32" s="1155"/>
      <c r="F32" s="1155"/>
      <c r="G32" s="1159"/>
      <c r="H32" s="917"/>
      <c r="I32" s="1161"/>
      <c r="J32" s="1123"/>
      <c r="K32" s="351"/>
      <c r="L32" s="1111"/>
      <c r="M32" s="1111"/>
      <c r="N32" s="32"/>
      <c r="O32" s="1111"/>
      <c r="P32" s="1123"/>
      <c r="Q32" s="391"/>
      <c r="R32" s="1111"/>
      <c r="S32" s="1111"/>
      <c r="T32" s="48"/>
      <c r="U32" s="914"/>
      <c r="V32" s="1164"/>
      <c r="W32" s="1164"/>
      <c r="X32" s="1164"/>
      <c r="Y32" s="1164"/>
      <c r="Z32" s="1164"/>
      <c r="AA32" s="1164"/>
      <c r="AB32" s="1164"/>
      <c r="AC32" s="1164"/>
      <c r="AD32" s="1164"/>
      <c r="AE32" s="1164"/>
      <c r="AF32" s="1164"/>
      <c r="AG32" s="1164"/>
      <c r="AH32" s="1164"/>
      <c r="AI32" s="1165"/>
    </row>
    <row r="33" spans="4:64" ht="11.25" customHeight="1">
      <c r="D33" s="1153"/>
      <c r="E33" s="1155"/>
      <c r="F33" s="1155"/>
      <c r="G33" s="1159"/>
      <c r="H33" s="918"/>
      <c r="I33" s="1161"/>
      <c r="J33" s="1123"/>
      <c r="K33" s="351"/>
      <c r="L33" s="1111"/>
      <c r="M33" s="1111"/>
      <c r="N33" s="772"/>
      <c r="O33" s="772"/>
      <c r="P33" s="1164"/>
      <c r="Q33" s="1164"/>
      <c r="R33" s="1164"/>
      <c r="S33" s="1164"/>
      <c r="T33" s="1164"/>
      <c r="U33" s="1164"/>
      <c r="V33" s="1164"/>
      <c r="W33" s="1164"/>
      <c r="X33" s="1164"/>
      <c r="Y33" s="1164"/>
      <c r="Z33" s="1164"/>
      <c r="AA33" s="1164"/>
      <c r="AB33" s="1164"/>
      <c r="AC33" s="1164"/>
      <c r="AD33" s="1164"/>
      <c r="AE33" s="1164"/>
      <c r="AF33" s="1164"/>
      <c r="AG33" s="1164"/>
      <c r="AH33" s="1164"/>
      <c r="AI33" s="1165"/>
    </row>
    <row r="34" spans="4:64" s="891" customFormat="1" ht="11.25" customHeight="1">
      <c r="D34" s="1154"/>
      <c r="E34" s="1156"/>
      <c r="F34" s="1157"/>
      <c r="G34" s="1098"/>
      <c r="H34" s="915"/>
      <c r="I34" s="919"/>
      <c r="J34" s="1162"/>
      <c r="K34" s="1162"/>
      <c r="L34" s="1162"/>
      <c r="M34" s="1162"/>
      <c r="N34" s="1162"/>
      <c r="O34" s="1162"/>
      <c r="P34" s="1162"/>
      <c r="Q34" s="1162"/>
      <c r="R34" s="1162"/>
      <c r="S34" s="1162"/>
      <c r="T34" s="1162"/>
      <c r="U34" s="1162"/>
      <c r="V34" s="1162"/>
      <c r="W34" s="1162"/>
      <c r="X34" s="1162"/>
      <c r="Y34" s="1162"/>
      <c r="Z34" s="1162"/>
      <c r="AA34" s="1162"/>
      <c r="AB34" s="1162"/>
      <c r="AC34" s="1162"/>
      <c r="AD34" s="1162"/>
      <c r="AE34" s="1162"/>
      <c r="AF34" s="1162"/>
      <c r="AG34" s="1162"/>
      <c r="AH34" s="1162"/>
      <c r="AI34" s="1163"/>
      <c r="AJ34"/>
      <c r="AK34" s="44"/>
      <c r="AL34"/>
      <c r="AM34"/>
      <c r="AN34"/>
      <c r="AO34"/>
      <c r="AP34"/>
      <c r="AQ34"/>
      <c r="AR34"/>
      <c r="AS34"/>
      <c r="AT34"/>
      <c r="AU34"/>
      <c r="AV34"/>
      <c r="AW34"/>
      <c r="AX34"/>
      <c r="AY34"/>
      <c r="AZ34"/>
      <c r="BA34"/>
      <c r="BB34"/>
      <c r="BC34"/>
      <c r="BD34"/>
      <c r="BE34"/>
      <c r="BF34"/>
      <c r="BG34"/>
      <c r="BH34"/>
      <c r="BI34"/>
      <c r="BJ34"/>
      <c r="BK34"/>
      <c r="BL34"/>
    </row>
    <row r="35" spans="4:64" ht="14.25" customHeight="1">
      <c r="D35" s="1153" t="s">
        <v>120</v>
      </c>
      <c r="E35" s="1155" t="s">
        <v>295</v>
      </c>
      <c r="F35" s="1155" t="s">
        <v>300</v>
      </c>
      <c r="G35" s="1158" t="s">
        <v>57</v>
      </c>
      <c r="H35" s="916"/>
      <c r="I35" s="1160"/>
      <c r="J35" s="1122"/>
      <c r="K35" s="857"/>
      <c r="L35" s="1110"/>
      <c r="M35" s="1110"/>
      <c r="N35" s="910"/>
      <c r="O35" s="1110"/>
      <c r="P35" s="1122"/>
      <c r="Q35" s="857"/>
      <c r="R35" s="1110"/>
      <c r="S35" s="1110"/>
      <c r="T35" s="911"/>
      <c r="U35" s="1110"/>
      <c r="V35" s="1122"/>
      <c r="W35" s="828"/>
      <c r="X35" s="1110"/>
      <c r="Y35" s="1110"/>
      <c r="Z35" s="910"/>
      <c r="AA35" s="1110"/>
      <c r="AB35" s="1122"/>
      <c r="AC35" s="912"/>
      <c r="AD35" s="1110"/>
      <c r="AE35" s="1110"/>
      <c r="AF35" s="828"/>
      <c r="AG35" s="828"/>
      <c r="AH35" s="910"/>
      <c r="AI35" s="771"/>
    </row>
    <row r="36" spans="4:64" ht="14.25" customHeight="1">
      <c r="D36" s="1153"/>
      <c r="E36" s="1155"/>
      <c r="F36" s="1155"/>
      <c r="G36" s="1159"/>
      <c r="H36" s="917"/>
      <c r="I36" s="1161"/>
      <c r="J36" s="1123"/>
      <c r="K36" s="351"/>
      <c r="L36" s="1111"/>
      <c r="M36" s="1111"/>
      <c r="N36" s="32"/>
      <c r="O36" s="1111"/>
      <c r="P36" s="1123"/>
      <c r="Q36" s="391"/>
      <c r="R36" s="1111"/>
      <c r="S36" s="1111"/>
      <c r="T36" s="913"/>
      <c r="U36" s="1111"/>
      <c r="V36" s="1123"/>
      <c r="W36" s="53"/>
      <c r="X36" s="1111"/>
      <c r="Y36" s="1111"/>
      <c r="Z36" s="32"/>
      <c r="AA36" s="1111"/>
      <c r="AB36" s="1123"/>
      <c r="AC36" s="351"/>
      <c r="AD36" s="1111"/>
      <c r="AE36" s="1111"/>
      <c r="AF36" s="772"/>
      <c r="AG36" s="772"/>
      <c r="AH36" s="1164"/>
      <c r="AI36" s="1165"/>
    </row>
    <row r="37" spans="4:64" ht="14.25" customHeight="1">
      <c r="D37" s="1153"/>
      <c r="E37" s="1155"/>
      <c r="F37" s="1155"/>
      <c r="G37" s="1159"/>
      <c r="H37" s="917"/>
      <c r="I37" s="1161"/>
      <c r="J37" s="1123"/>
      <c r="K37" s="351"/>
      <c r="L37" s="1111"/>
      <c r="M37" s="1111"/>
      <c r="N37" s="32"/>
      <c r="O37" s="1111"/>
      <c r="P37" s="1123"/>
      <c r="Q37" s="391"/>
      <c r="R37" s="1111"/>
      <c r="S37" s="1111"/>
      <c r="T37" s="913"/>
      <c r="U37" s="1111"/>
      <c r="V37" s="1123"/>
      <c r="W37" s="53"/>
      <c r="X37" s="1111"/>
      <c r="Y37" s="1111"/>
      <c r="Z37" s="53"/>
      <c r="AA37" s="772"/>
      <c r="AB37" s="1164"/>
      <c r="AC37" s="1164"/>
      <c r="AD37" s="1164"/>
      <c r="AE37" s="1164"/>
      <c r="AF37" s="1164"/>
      <c r="AG37" s="1164"/>
      <c r="AH37" s="1164"/>
      <c r="AI37" s="1165"/>
    </row>
    <row r="38" spans="4:64" ht="14.25" customHeight="1">
      <c r="D38" s="1153"/>
      <c r="E38" s="1155"/>
      <c r="F38" s="1155"/>
      <c r="G38" s="1159"/>
      <c r="H38" s="917"/>
      <c r="I38" s="1161"/>
      <c r="J38" s="1123"/>
      <c r="K38" s="351"/>
      <c r="L38" s="1111"/>
      <c r="M38" s="1111"/>
      <c r="N38" s="32"/>
      <c r="O38" s="1111"/>
      <c r="P38" s="1123"/>
      <c r="Q38" s="391"/>
      <c r="R38" s="1111"/>
      <c r="S38" s="1111"/>
      <c r="T38" s="48"/>
      <c r="U38" s="914"/>
      <c r="V38" s="1164"/>
      <c r="W38" s="1164"/>
      <c r="X38" s="1164"/>
      <c r="Y38" s="1164"/>
      <c r="Z38" s="1164"/>
      <c r="AA38" s="1164"/>
      <c r="AB38" s="1164"/>
      <c r="AC38" s="1164"/>
      <c r="AD38" s="1164"/>
      <c r="AE38" s="1164"/>
      <c r="AF38" s="1164"/>
      <c r="AG38" s="1164"/>
      <c r="AH38" s="1164"/>
      <c r="AI38" s="1165"/>
    </row>
    <row r="39" spans="4:64" ht="11.25" customHeight="1">
      <c r="D39" s="1153"/>
      <c r="E39" s="1155"/>
      <c r="F39" s="1155"/>
      <c r="G39" s="1159"/>
      <c r="H39" s="918"/>
      <c r="I39" s="1161"/>
      <c r="J39" s="1123"/>
      <c r="K39" s="351"/>
      <c r="L39" s="1111"/>
      <c r="M39" s="1111"/>
      <c r="N39" s="772"/>
      <c r="O39" s="772"/>
      <c r="P39" s="1164"/>
      <c r="Q39" s="1164"/>
      <c r="R39" s="1164"/>
      <c r="S39" s="1164"/>
      <c r="T39" s="1164"/>
      <c r="U39" s="1164"/>
      <c r="V39" s="1164"/>
      <c r="W39" s="1164"/>
      <c r="X39" s="1164"/>
      <c r="Y39" s="1164"/>
      <c r="Z39" s="1164"/>
      <c r="AA39" s="1164"/>
      <c r="AB39" s="1164"/>
      <c r="AC39" s="1164"/>
      <c r="AD39" s="1164"/>
      <c r="AE39" s="1164"/>
      <c r="AF39" s="1164"/>
      <c r="AG39" s="1164"/>
      <c r="AH39" s="1164"/>
      <c r="AI39" s="1165"/>
    </row>
    <row r="40" spans="4:64" s="891" customFormat="1" ht="11.25" customHeight="1">
      <c r="D40" s="1153"/>
      <c r="E40" s="1155"/>
      <c r="F40" s="1166"/>
      <c r="G40" s="1098"/>
      <c r="H40" s="915"/>
      <c r="I40" s="919"/>
      <c r="J40" s="1162"/>
      <c r="K40" s="1162"/>
      <c r="L40" s="1162"/>
      <c r="M40" s="1162"/>
      <c r="N40" s="1162"/>
      <c r="O40" s="1162"/>
      <c r="P40" s="1162"/>
      <c r="Q40" s="1162"/>
      <c r="R40" s="1162"/>
      <c r="S40" s="1162"/>
      <c r="T40" s="1162"/>
      <c r="U40" s="1162"/>
      <c r="V40" s="1162"/>
      <c r="W40" s="1162"/>
      <c r="X40" s="1162"/>
      <c r="Y40" s="1162"/>
      <c r="Z40" s="1162"/>
      <c r="AA40" s="1162"/>
      <c r="AB40" s="1162"/>
      <c r="AC40" s="1162"/>
      <c r="AD40" s="1162"/>
      <c r="AE40" s="1162"/>
      <c r="AF40" s="1162"/>
      <c r="AG40" s="1162"/>
      <c r="AH40" s="1162"/>
      <c r="AI40" s="1163"/>
      <c r="AJ40"/>
      <c r="AK40" s="44"/>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EF3C9-2F52-055D-EAC3-DF0DFF7A760C}">
  <sheetPr>
    <tabColor theme="3" tint="0.59999389629810485"/>
  </sheetPr>
  <dimension ref="A1:I58"/>
  <sheetViews>
    <sheetView showGridLines="0" topLeftCell="C3" zoomScale="90" workbookViewId="0"/>
  </sheetViews>
  <sheetFormatPr defaultColWidth="9.140625" defaultRowHeight="11.25" customHeight="1"/>
  <cols>
    <col min="1" max="1" width="15" style="5" hidden="1" customWidth="1"/>
    <col min="2" max="2" width="15" style="300" hidden="1" customWidth="1"/>
    <col min="3" max="3" width="3.7109375" style="266" customWidth="1"/>
    <col min="4" max="4" width="6.85546875" style="267" customWidth="1"/>
    <col min="5" max="5" width="52.28515625" style="266" customWidth="1"/>
    <col min="6" max="6" width="48.85546875" style="266" customWidth="1"/>
    <col min="7" max="7" width="121.7109375" style="266" customWidth="1"/>
    <col min="8" max="8" width="9.140625" style="266"/>
    <col min="9" max="9" width="65" style="266" customWidth="1"/>
  </cols>
  <sheetData>
    <row r="1" spans="1:9" ht="11.25" hidden="1" customHeight="1">
      <c r="A1" s="5" t="s">
        <v>301</v>
      </c>
    </row>
    <row r="2" spans="1:9" ht="11.25" hidden="1" customHeight="1"/>
    <row r="3" spans="1:9" s="284" customFormat="1" ht="11.25" customHeight="1">
      <c r="A3" s="5"/>
      <c r="B3" s="300"/>
      <c r="D3" s="285"/>
    </row>
    <row r="4" spans="1:9" ht="36.75" customHeight="1">
      <c r="D4" s="1075"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076"/>
      <c r="F4" s="1077"/>
      <c r="I4" s="420"/>
    </row>
    <row r="5" spans="1:9" ht="17.25" customHeight="1">
      <c r="D5" s="1178" t="str">
        <f>IF(org=0,"Не определено",org)</f>
        <v>ООО "Концессионная Коммунальная Компания"</v>
      </c>
      <c r="E5" s="1178"/>
      <c r="F5" s="1178"/>
      <c r="I5" s="420"/>
    </row>
    <row r="6" spans="1:9" s="284" customFormat="1" ht="11.25" customHeight="1">
      <c r="A6" s="5"/>
      <c r="B6" s="300"/>
      <c r="D6" s="419"/>
      <c r="E6" s="419"/>
      <c r="F6" s="442"/>
      <c r="G6" s="419"/>
    </row>
    <row r="7" spans="1:9" ht="11.25" hidden="1" customHeight="1">
      <c r="A7" s="8"/>
      <c r="B7" s="301"/>
      <c r="C7" s="8"/>
      <c r="D7" s="12"/>
      <c r="E7" s="1174"/>
      <c r="F7" s="1174"/>
    </row>
    <row r="8" spans="1:9" ht="11.25" customHeight="1">
      <c r="A8" s="8"/>
      <c r="B8" s="301"/>
      <c r="C8" s="8"/>
      <c r="D8" s="1170" t="s">
        <v>302</v>
      </c>
      <c r="E8" s="1171"/>
      <c r="F8" s="1171"/>
      <c r="G8" s="1175" t="s">
        <v>303</v>
      </c>
    </row>
    <row r="9" spans="1:9" ht="11.25" customHeight="1">
      <c r="A9" s="8"/>
      <c r="B9" s="301"/>
      <c r="C9" s="8"/>
      <c r="D9" s="280" t="s">
        <v>88</v>
      </c>
      <c r="E9" s="265" t="s">
        <v>304</v>
      </c>
      <c r="F9" s="265" t="s">
        <v>305</v>
      </c>
      <c r="G9" s="1176"/>
    </row>
    <row r="10" spans="1:9" ht="12" hidden="1" customHeight="1">
      <c r="A10" s="8"/>
      <c r="B10" s="301"/>
      <c r="C10" s="8"/>
      <c r="D10" s="273"/>
      <c r="E10" s="273"/>
      <c r="F10" s="273"/>
      <c r="G10" s="273"/>
    </row>
    <row r="11" spans="1:9" ht="22.5" hidden="1" customHeight="1">
      <c r="A11" s="8"/>
      <c r="B11" s="301"/>
      <c r="C11" s="8"/>
      <c r="D11" s="606" t="s">
        <v>119</v>
      </c>
      <c r="E11" s="327" t="s">
        <v>306</v>
      </c>
      <c r="F11" s="371" t="str">
        <f>IF(region_name="","",region_name)</f>
        <v>Ханты-Мансийский автономный округ</v>
      </c>
      <c r="G11" s="327" t="s">
        <v>307</v>
      </c>
      <c r="H11" s="282"/>
    </row>
    <row r="12" spans="1:9" ht="22.5" hidden="1" customHeight="1">
      <c r="A12" s="8"/>
      <c r="B12" s="301"/>
      <c r="C12" s="8"/>
      <c r="D12" s="264" t="s">
        <v>119</v>
      </c>
      <c r="E12" s="26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 t="s">
        <v>308</v>
      </c>
      <c r="G12" s="281"/>
      <c r="H12" s="282"/>
    </row>
    <row r="13" spans="1:9" ht="22.5" customHeight="1">
      <c r="A13" s="8"/>
      <c r="B13" s="301"/>
      <c r="C13" s="8"/>
      <c r="D13" s="264" t="s">
        <v>119</v>
      </c>
      <c r="E13" s="262" t="str">
        <f>"Наименование юридического лица"&amp;IF(TEMPLATE_SPHERE="TKO"," (индивидуального предпринимателя)","")</f>
        <v>Наименование юридического лица</v>
      </c>
      <c r="F13" s="261"/>
      <c r="G13" s="26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82"/>
    </row>
    <row r="14" spans="1:9" ht="22.5" hidden="1" customHeight="1">
      <c r="A14" s="8"/>
      <c r="B14" s="301"/>
      <c r="C14" s="8"/>
      <c r="D14" s="606" t="s">
        <v>309</v>
      </c>
      <c r="E14" s="607" t="s">
        <v>310</v>
      </c>
      <c r="F14" s="371" t="str">
        <f>IF(inn="","",inn)</f>
        <v>8608053716</v>
      </c>
      <c r="G14" s="327" t="s">
        <v>311</v>
      </c>
      <c r="H14" s="282"/>
    </row>
    <row r="15" spans="1:9" ht="22.5" hidden="1" customHeight="1">
      <c r="A15" s="8"/>
      <c r="B15" s="301"/>
      <c r="C15" s="8"/>
      <c r="D15" s="606" t="s">
        <v>312</v>
      </c>
      <c r="E15" s="607" t="s">
        <v>313</v>
      </c>
      <c r="F15" s="371" t="str">
        <f>IF(kpp="","",kpp)</f>
        <v>860801001</v>
      </c>
      <c r="G15" s="327" t="s">
        <v>314</v>
      </c>
      <c r="H15" s="282"/>
    </row>
    <row r="16" spans="1:9" ht="36.75" customHeight="1">
      <c r="A16" s="8"/>
      <c r="B16" s="301"/>
      <c r="C16" s="8"/>
      <c r="D16" s="264" t="s">
        <v>103</v>
      </c>
      <c r="E16" s="26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61"/>
      <c r="G16" s="26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82"/>
    </row>
    <row r="17" spans="1:9" ht="22.5" customHeight="1">
      <c r="A17" s="8"/>
      <c r="B17" s="301"/>
      <c r="C17" s="8"/>
      <c r="D17" s="264" t="s">
        <v>90</v>
      </c>
      <c r="E17" s="262" t="str">
        <f>"Дата присвоения ОГРН"&amp;IF(TEMPLATE_SPHERE="TKO",""," (ОГРНИП)")</f>
        <v>Дата присвоения ОГРН (ОГРНИП)</v>
      </c>
      <c r="F17" s="972" t="s">
        <v>18</v>
      </c>
      <c r="G17" s="263" t="str">
        <f>"Дата присвоения ОГРН"&amp;IF(TEMPLATE_SPHERE="TKO",""," (ОГРНИП)")&amp;" указывается в виде «ДД.ММ.ГГГГ»."</f>
        <v>Дата присвоения ОГРН (ОГРНИП) указывается в виде «ДД.ММ.ГГГГ».</v>
      </c>
      <c r="H17" s="282"/>
    </row>
    <row r="18" spans="1:9" ht="56.25" customHeight="1">
      <c r="A18" s="8"/>
      <c r="B18" s="301"/>
      <c r="C18" s="8"/>
      <c r="D18" s="264" t="s">
        <v>91</v>
      </c>
      <c r="E18" s="26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61"/>
      <c r="G18" s="281"/>
      <c r="H18" s="282"/>
    </row>
    <row r="19" spans="1:9" ht="22.5" hidden="1" customHeight="1">
      <c r="A19" s="1172">
        <v>1</v>
      </c>
      <c r="B19" s="301"/>
      <c r="C19" s="1177"/>
      <c r="D19" s="260">
        <v>5</v>
      </c>
      <c r="E19" s="262" t="s">
        <v>315</v>
      </c>
      <c r="F19" s="37" t="s">
        <v>308</v>
      </c>
      <c r="G19" s="263" t="s">
        <v>316</v>
      </c>
      <c r="H19" s="282"/>
      <c r="I19" s="502"/>
    </row>
    <row r="20" spans="1:9" ht="33.75" hidden="1" customHeight="1">
      <c r="A20" s="1172"/>
      <c r="B20" s="301"/>
      <c r="C20" s="1177"/>
      <c r="D20" s="264" t="s">
        <v>317</v>
      </c>
      <c r="E20" s="259" t="s">
        <v>318</v>
      </c>
      <c r="F20" s="524" t="s">
        <v>18</v>
      </c>
      <c r="G20" s="281"/>
      <c r="H20" s="282"/>
      <c r="I20" s="502"/>
    </row>
    <row r="21" spans="1:9" ht="22.5" hidden="1" customHeight="1">
      <c r="A21" s="1172"/>
      <c r="B21" s="301"/>
      <c r="C21" s="1177"/>
      <c r="D21" s="264" t="s">
        <v>319</v>
      </c>
      <c r="E21" s="259" t="s">
        <v>320</v>
      </c>
      <c r="F21" s="973" t="s">
        <v>18</v>
      </c>
      <c r="G21" s="263" t="s">
        <v>321</v>
      </c>
      <c r="H21" s="282"/>
      <c r="I21" s="502"/>
    </row>
    <row r="22" spans="1:9" ht="22.5" hidden="1" customHeight="1">
      <c r="A22" s="1172"/>
      <c r="B22" s="301"/>
      <c r="C22" s="1177"/>
      <c r="D22" s="264" t="s">
        <v>322</v>
      </c>
      <c r="E22" s="259" t="s">
        <v>323</v>
      </c>
      <c r="F22" s="524" t="s">
        <v>18</v>
      </c>
      <c r="G22" s="281"/>
      <c r="H22" s="282"/>
      <c r="I22" s="502"/>
    </row>
    <row r="23" spans="1:9" ht="22.5" hidden="1" customHeight="1">
      <c r="A23" s="1172"/>
      <c r="B23" s="301"/>
      <c r="C23" s="1177"/>
      <c r="D23" s="264" t="s">
        <v>324</v>
      </c>
      <c r="E23" s="259" t="s">
        <v>325</v>
      </c>
      <c r="F23" s="524" t="s">
        <v>18</v>
      </c>
      <c r="G23" s="263" t="s">
        <v>326</v>
      </c>
      <c r="H23" s="282"/>
      <c r="I23" s="502"/>
    </row>
    <row r="24" spans="1:9" s="300" customFormat="1" ht="24.75" hidden="1" customHeight="1">
      <c r="A24" s="8"/>
      <c r="B24" s="301"/>
      <c r="C24" s="301"/>
      <c r="D24" s="603" t="s">
        <v>90</v>
      </c>
      <c r="E24" s="605" t="s">
        <v>327</v>
      </c>
      <c r="F24" s="326" t="s">
        <v>308</v>
      </c>
      <c r="G24" s="605"/>
    </row>
    <row r="25" spans="1:9" s="300" customFormat="1" ht="11.25" hidden="1" customHeight="1">
      <c r="A25" s="8"/>
      <c r="B25" s="301"/>
      <c r="C25" s="301"/>
      <c r="D25" s="603" t="s">
        <v>328</v>
      </c>
      <c r="E25" s="604" t="s">
        <v>329</v>
      </c>
      <c r="F25" s="326" t="s">
        <v>308</v>
      </c>
      <c r="G25" s="605"/>
    </row>
    <row r="26" spans="1:9" s="300" customFormat="1" ht="11.25" hidden="1" customHeight="1">
      <c r="A26" s="8"/>
      <c r="B26" s="301"/>
      <c r="C26" s="301"/>
      <c r="D26" s="603" t="s">
        <v>330</v>
      </c>
      <c r="E26" s="608" t="s">
        <v>331</v>
      </c>
      <c r="F26" s="609"/>
      <c r="G26" s="60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300" customFormat="1" ht="11.25" hidden="1" customHeight="1">
      <c r="A27" s="8"/>
      <c r="B27" s="301"/>
      <c r="C27" s="301"/>
      <c r="D27" s="603" t="s">
        <v>332</v>
      </c>
      <c r="E27" s="608" t="s">
        <v>333</v>
      </c>
      <c r="F27" s="609"/>
      <c r="G27" s="60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300" customFormat="1" ht="11.25" hidden="1" customHeight="1">
      <c r="A28" s="8"/>
      <c r="B28" s="301"/>
      <c r="C28" s="301"/>
      <c r="D28" s="603" t="s">
        <v>334</v>
      </c>
      <c r="E28" s="608" t="s">
        <v>335</v>
      </c>
      <c r="F28" s="609"/>
      <c r="G28" s="60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300" customFormat="1" ht="11.25" hidden="1" customHeight="1">
      <c r="A29" s="8"/>
      <c r="B29" s="301"/>
      <c r="C29" s="301"/>
      <c r="D29" s="603" t="s">
        <v>336</v>
      </c>
      <c r="E29" s="604" t="s">
        <v>337</v>
      </c>
      <c r="F29" s="609"/>
      <c r="G29" s="605"/>
    </row>
    <row r="30" spans="1:9" s="300" customFormat="1" ht="11.25" hidden="1" customHeight="1">
      <c r="A30" s="8"/>
      <c r="B30" s="301"/>
      <c r="C30" s="301"/>
      <c r="D30" s="603" t="s">
        <v>338</v>
      </c>
      <c r="E30" s="604" t="s">
        <v>339</v>
      </c>
      <c r="F30" s="609"/>
      <c r="G30" s="605"/>
    </row>
    <row r="31" spans="1:9" s="300" customFormat="1" ht="11.25" hidden="1" customHeight="1">
      <c r="A31" s="8"/>
      <c r="B31" s="301"/>
      <c r="C31" s="301"/>
      <c r="D31" s="603" t="s">
        <v>340</v>
      </c>
      <c r="E31" s="604" t="s">
        <v>341</v>
      </c>
      <c r="F31" s="609"/>
      <c r="G31" s="605"/>
    </row>
    <row r="32" spans="1:9" ht="22.5" customHeight="1">
      <c r="A32" s="8" t="str">
        <f>IF(TEMPLATE_SPHERE="HEAT","6","5")</f>
        <v>5</v>
      </c>
      <c r="B32" s="301"/>
      <c r="C32" s="8"/>
      <c r="D32" s="260" t="str">
        <f>A32</f>
        <v>5</v>
      </c>
      <c r="E32" s="25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 t="s">
        <v>308</v>
      </c>
      <c r="G32" s="281"/>
      <c r="H32" s="282"/>
    </row>
    <row r="33" spans="1:8" ht="22.5" customHeight="1">
      <c r="A33" s="8"/>
      <c r="B33" s="301"/>
      <c r="C33" s="8"/>
      <c r="D33" s="260" t="str">
        <f>D32&amp;".1"</f>
        <v>5.1</v>
      </c>
      <c r="E33" s="262" t="str">
        <f>"фамилия"&amp;IF(TEMPLATE_SPHERE&lt;&gt;"HEAT"," руководителя","")</f>
        <v>фамилия руководителя</v>
      </c>
      <c r="F33" s="261"/>
      <c r="G33" s="26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282"/>
    </row>
    <row r="34" spans="1:8" ht="22.5" customHeight="1">
      <c r="A34" s="8"/>
      <c r="B34" s="301"/>
      <c r="C34" s="8"/>
      <c r="D34" s="260" t="str">
        <f>D32&amp;".2"</f>
        <v>5.2</v>
      </c>
      <c r="E34" s="262" t="str">
        <f>"имя"&amp;IF(TEMPLATE_SPHERE&lt;&gt;"HEAT"," руководителя","")</f>
        <v>имя руководителя</v>
      </c>
      <c r="F34" s="261"/>
      <c r="G34" s="26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282"/>
    </row>
    <row r="35" spans="1:8" ht="22.5" customHeight="1">
      <c r="A35" s="8"/>
      <c r="B35" s="301"/>
      <c r="C35" s="8"/>
      <c r="D35" s="260" t="str">
        <f>D32&amp;".3"</f>
        <v>5.3</v>
      </c>
      <c r="E35" s="262" t="str">
        <f>"отчество"&amp;IF(TEMPLATE_SPHERE&lt;&gt;"HEAT"," руководителя","")</f>
        <v>отчество руководителя</v>
      </c>
      <c r="F35" s="409"/>
      <c r="G35" s="26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282"/>
    </row>
    <row r="36" spans="1:8" ht="33.75" customHeight="1">
      <c r="A36" s="8"/>
      <c r="B36" s="301"/>
      <c r="C36" s="8"/>
      <c r="D36" s="260">
        <f>D32+1</f>
        <v>6</v>
      </c>
      <c r="E36" s="25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261"/>
      <c r="G36" s="263" t="s">
        <v>342</v>
      </c>
      <c r="H36" s="282"/>
    </row>
    <row r="37" spans="1:8" ht="33.75" customHeight="1">
      <c r="A37" s="8"/>
      <c r="B37" s="301"/>
      <c r="C37" s="8"/>
      <c r="D37" s="260">
        <f>D36+1</f>
        <v>7</v>
      </c>
      <c r="E37" s="25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261"/>
      <c r="G37" s="263" t="s">
        <v>342</v>
      </c>
      <c r="H37" s="282"/>
    </row>
    <row r="38" spans="1:8" ht="22.5" customHeight="1">
      <c r="A38" s="8"/>
      <c r="B38" s="301"/>
      <c r="C38" s="8"/>
      <c r="D38" s="260">
        <f>D37+1</f>
        <v>8</v>
      </c>
      <c r="E38" s="25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 t="s">
        <v>308</v>
      </c>
      <c r="G38" s="11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282"/>
    </row>
    <row r="39" spans="1:8" ht="22.5" hidden="1" customHeight="1">
      <c r="A39" s="8"/>
      <c r="B39" s="301"/>
      <c r="C39" s="8"/>
      <c r="D39" s="260" t="str">
        <f>D38&amp;".0"</f>
        <v>8.0</v>
      </c>
      <c r="E39" s="402"/>
      <c r="F39" s="524"/>
      <c r="G39" s="1180"/>
      <c r="H39" s="282"/>
    </row>
    <row r="40" spans="1:8" ht="22.5" customHeight="1">
      <c r="A40" s="8"/>
      <c r="B40" s="8"/>
      <c r="C40" s="21"/>
      <c r="D40" s="260" t="str">
        <f>D38&amp;".1"</f>
        <v>8.1</v>
      </c>
      <c r="E40" s="510"/>
      <c r="F40" s="408"/>
      <c r="G40" s="1180"/>
      <c r="H40" s="282"/>
    </row>
    <row r="41" spans="1:8" ht="15" customHeight="1">
      <c r="A41" s="8"/>
      <c r="B41" s="301"/>
      <c r="C41" s="8"/>
      <c r="D41" s="275"/>
      <c r="E41" s="107" t="s">
        <v>343</v>
      </c>
      <c r="F41" s="277"/>
      <c r="G41" s="1181"/>
      <c r="H41" s="283"/>
    </row>
    <row r="42" spans="1:8" ht="25.5" customHeight="1">
      <c r="A42" s="8"/>
      <c r="B42" s="301"/>
      <c r="C42" s="8"/>
      <c r="D42" s="260">
        <f>D38+1</f>
        <v>9</v>
      </c>
      <c r="E42" s="25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511"/>
      <c r="G42" s="26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282"/>
    </row>
    <row r="43" spans="1:8" ht="22.5" customHeight="1">
      <c r="A43" s="8"/>
      <c r="B43" s="301"/>
      <c r="C43" s="8"/>
      <c r="D43" s="260">
        <f>D42+1</f>
        <v>10</v>
      </c>
      <c r="E43" s="25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5"/>
      <c r="G43" s="281" t="s">
        <v>344</v>
      </c>
      <c r="H43" s="282"/>
    </row>
    <row r="44" spans="1:8" ht="22.5" customHeight="1">
      <c r="A44" s="8"/>
      <c r="B44" s="301"/>
      <c r="C44" s="8"/>
      <c r="D44" s="260">
        <f>D43+1</f>
        <v>11</v>
      </c>
      <c r="E44" s="258" t="s">
        <v>345</v>
      </c>
      <c r="F44" s="37" t="s">
        <v>308</v>
      </c>
      <c r="G44" s="257" t="str">
        <f>IF(TEMPLATE_SPHERE="TKO","Указывается режим работы организации.","")</f>
        <v/>
      </c>
      <c r="H44" s="282"/>
    </row>
    <row r="45" spans="1:8" ht="22.5" customHeight="1">
      <c r="A45" s="8"/>
      <c r="B45" s="301"/>
      <c r="C45" s="8"/>
      <c r="D45" s="260" t="str">
        <f>D44&amp;".1"</f>
        <v>11.1</v>
      </c>
      <c r="E45" s="262" t="str">
        <f>"режим работы регулируемой организации"&amp;IF(TEMPLATE_SPHERE="HEAT",", ЕТО, ТО","")</f>
        <v>режим работы регулируемой организации</v>
      </c>
      <c r="F45" s="110"/>
      <c r="G45" s="257" t="s">
        <v>346</v>
      </c>
      <c r="H45" s="282"/>
    </row>
    <row r="46" spans="1:8" ht="22.5" customHeight="1">
      <c r="A46" s="1168"/>
      <c r="B46" s="301"/>
      <c r="C46" s="294"/>
      <c r="D46" s="260" t="str">
        <f>D44&amp;".2"</f>
        <v>11.2</v>
      </c>
      <c r="E46" s="262" t="s">
        <v>347</v>
      </c>
      <c r="F46" s="110"/>
      <c r="G46" s="257" t="s">
        <v>348</v>
      </c>
      <c r="H46" s="282"/>
    </row>
    <row r="47" spans="1:8" ht="22.5" customHeight="1">
      <c r="A47" s="1168"/>
      <c r="B47" s="301"/>
      <c r="C47" s="294"/>
      <c r="D47" s="260" t="str">
        <f>D44&amp;".3"</f>
        <v>11.3</v>
      </c>
      <c r="E47" s="262" t="s">
        <v>349</v>
      </c>
      <c r="F47" s="110"/>
      <c r="G47" s="257" t="s">
        <v>350</v>
      </c>
      <c r="H47" s="282"/>
    </row>
    <row r="48" spans="1:8" ht="22.5" customHeight="1">
      <c r="A48" s="1168"/>
      <c r="B48" s="301"/>
      <c r="C48" s="294"/>
      <c r="D48" s="260" t="str">
        <f>IF(TEMPLATE_SPHERE="TKO",D44&amp;".0",D44&amp;".4")</f>
        <v>11.4</v>
      </c>
      <c r="E48" s="256" t="s">
        <v>351</v>
      </c>
      <c r="F48" s="937"/>
      <c r="G48" s="999" t="s">
        <v>352</v>
      </c>
      <c r="H48" s="282"/>
    </row>
    <row r="49" spans="1:9" ht="22.5" customHeight="1">
      <c r="A49" s="8"/>
      <c r="B49" s="301"/>
      <c r="C49" s="8"/>
      <c r="D49" s="275"/>
      <c r="E49" s="107" t="s">
        <v>353</v>
      </c>
      <c r="F49" s="276"/>
      <c r="G49" s="999" t="s">
        <v>354</v>
      </c>
      <c r="H49" s="283"/>
    </row>
    <row r="50" spans="1:9" ht="22.5" customHeight="1">
      <c r="A50" s="508"/>
      <c r="B50" s="301"/>
      <c r="C50" s="294"/>
      <c r="D50" s="260">
        <f>D44+1</f>
        <v>12</v>
      </c>
      <c r="E50" s="310" t="s">
        <v>355</v>
      </c>
      <c r="F50" s="110"/>
      <c r="G50" s="93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282"/>
    </row>
    <row r="51" spans="1:9" ht="11.25" customHeight="1">
      <c r="A51" s="8"/>
      <c r="B51" s="301"/>
      <c r="C51" s="8"/>
    </row>
    <row r="52" spans="1:9" s="270" customFormat="1" ht="30" customHeight="1">
      <c r="A52" s="1"/>
      <c r="B52" s="65"/>
      <c r="C52" s="1169"/>
      <c r="D52" s="11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173"/>
      <c r="F52" s="1173"/>
      <c r="G52" s="1173"/>
      <c r="H52" s="89"/>
      <c r="I52" s="89"/>
    </row>
    <row r="53" spans="1:9" s="270" customFormat="1" ht="39.75" customHeight="1">
      <c r="A53" s="8"/>
      <c r="B53" s="301"/>
      <c r="C53" s="1169"/>
      <c r="D53" s="117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1173"/>
      <c r="F53" s="1173"/>
      <c r="G53" s="1173"/>
    </row>
    <row r="54" spans="1:9" ht="11.25" customHeight="1">
      <c r="D54" s="268"/>
      <c r="E54" s="269"/>
      <c r="F54" s="269"/>
      <c r="G54" s="269"/>
    </row>
    <row r="55" spans="1:9" ht="27" customHeight="1">
      <c r="D55" s="271"/>
      <c r="E55" s="268"/>
      <c r="F55" s="278"/>
      <c r="G55" s="278"/>
    </row>
    <row r="56" spans="1:9" ht="11.25" customHeight="1">
      <c r="D56" s="268"/>
      <c r="E56" s="268"/>
      <c r="F56" s="269"/>
      <c r="G56" s="269"/>
    </row>
    <row r="57" spans="1:9" ht="39" customHeight="1">
      <c r="D57" s="272"/>
      <c r="E57" s="279"/>
      <c r="F57" s="279"/>
      <c r="G57" s="279"/>
    </row>
    <row r="58" spans="1:9" ht="27" customHeight="1">
      <c r="D58" s="272"/>
      <c r="E58" s="279"/>
      <c r="F58" s="279"/>
      <c r="G58" s="27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5E568-C897-B2B2-A953-4B874F37E6ED}">
  <sheetPr>
    <tabColor theme="3" tint="0.59999389629810485"/>
  </sheetPr>
  <dimension ref="A1:AS14"/>
  <sheetViews>
    <sheetView showGridLines="0" topLeftCell="C3" zoomScale="90" workbookViewId="0"/>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48.42578125" style="9" customWidth="1"/>
    <col min="6" max="6" width="38.140625" style="9" customWidth="1"/>
    <col min="7" max="7" width="1.7109375" style="9" hidden="1" customWidth="1"/>
    <col min="8" max="11" width="19.85546875" style="9" hidden="1" customWidth="1"/>
    <col min="12" max="12" width="9.7109375" style="9" hidden="1" customWidth="1"/>
    <col min="13" max="18" width="19.85546875" style="9" hidden="1" customWidth="1"/>
    <col min="19" max="19" width="1.7109375" style="9" hidden="1" customWidth="1"/>
    <col min="20" max="22" width="19.85546875" style="9" hidden="1" customWidth="1"/>
    <col min="23" max="23" width="1.7109375" style="9" hidden="1" customWidth="1"/>
    <col min="24" max="26" width="19.85546875" style="9" customWidth="1"/>
    <col min="27" max="27" width="1.7109375" style="9" hidden="1" customWidth="1"/>
    <col min="28" max="29" width="19.85546875" style="9" hidden="1" customWidth="1"/>
    <col min="30" max="30" width="1.7109375" style="9" hidden="1" customWidth="1"/>
    <col min="31" max="32" width="103.7109375" style="9" hidden="1" customWidth="1"/>
    <col min="33" max="33" width="103.7109375" style="9" customWidth="1"/>
    <col min="34" max="34" width="103.7109375" style="9" hidden="1" customWidth="1"/>
    <col min="35" max="35" width="3.7109375" style="43" customWidth="1"/>
    <col min="36" max="38" width="10.5703125" style="65"/>
    <col min="39" max="39" width="13.7109375" style="65" hidden="1" customWidth="1"/>
    <col min="40" max="40" width="15.42578125" style="65" customWidth="1"/>
    <col min="41" max="41" width="16.28515625" style="65" customWidth="1"/>
    <col min="42" max="45" width="10.5703125" style="65"/>
  </cols>
  <sheetData>
    <row r="1" spans="1:45" ht="14.25" hidden="1" customHeight="1">
      <c r="E1" s="247"/>
      <c r="F1" s="247"/>
      <c r="G1" s="247"/>
      <c r="H1" s="1070" t="s">
        <v>356</v>
      </c>
      <c r="I1" s="1070"/>
      <c r="J1" s="1070"/>
      <c r="K1" s="1070"/>
      <c r="L1" s="1070"/>
      <c r="M1" s="1070"/>
      <c r="N1" s="1070"/>
      <c r="O1" s="1070"/>
      <c r="P1" s="1070"/>
      <c r="Q1" s="1070"/>
      <c r="R1" s="1070"/>
      <c r="T1" s="1070" t="s">
        <v>357</v>
      </c>
      <c r="U1" s="1070"/>
      <c r="V1" s="1070"/>
      <c r="X1" s="1070" t="s">
        <v>358</v>
      </c>
      <c r="Y1" s="1070"/>
      <c r="Z1" s="1070"/>
      <c r="AB1" s="1070" t="s">
        <v>359</v>
      </c>
      <c r="AC1" s="1070"/>
    </row>
    <row r="2" spans="1:45" ht="14.25" hidden="1" customHeight="1"/>
    <row r="3" spans="1:45" s="411" customFormat="1" ht="6" customHeight="1">
      <c r="C3" s="412"/>
      <c r="D3" s="413"/>
      <c r="E3" s="413"/>
      <c r="F3" s="413"/>
      <c r="G3" s="413"/>
      <c r="H3" s="413" t="s">
        <v>360</v>
      </c>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J3" s="65"/>
      <c r="AK3" s="65"/>
      <c r="AL3" s="65"/>
      <c r="AM3" s="65"/>
      <c r="AN3" s="65"/>
      <c r="AO3" s="65"/>
      <c r="AP3" s="65"/>
      <c r="AQ3" s="65"/>
      <c r="AR3" s="65"/>
      <c r="AS3" s="65"/>
    </row>
    <row r="4" spans="1:45" ht="24" customHeight="1">
      <c r="C4" s="21"/>
      <c r="D4" s="107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076"/>
      <c r="F4" s="1076"/>
      <c r="G4" s="1076"/>
      <c r="H4" s="1076"/>
      <c r="I4" s="1076"/>
      <c r="J4" s="1076"/>
      <c r="K4" s="1076"/>
      <c r="L4" s="1076"/>
      <c r="M4" s="1076"/>
      <c r="N4" s="1076"/>
      <c r="O4" s="1076"/>
      <c r="P4" s="1076"/>
      <c r="Q4" s="1076"/>
      <c r="R4" s="1077"/>
      <c r="S4" s="503"/>
      <c r="T4" s="410"/>
      <c r="U4" s="410"/>
      <c r="V4" s="410"/>
      <c r="W4" s="410"/>
      <c r="X4" s="410"/>
      <c r="Y4" s="410"/>
      <c r="Z4" s="410"/>
      <c r="AA4" s="410"/>
      <c r="AB4" s="410"/>
      <c r="AC4" s="410"/>
      <c r="AD4" s="410"/>
      <c r="AE4" s="293"/>
      <c r="AF4" s="293"/>
      <c r="AG4" s="293"/>
      <c r="AH4" s="293"/>
      <c r="AI4" s="153"/>
    </row>
    <row r="5" spans="1:45" s="9" customFormat="1" ht="17.25" customHeight="1">
      <c r="A5" s="6"/>
      <c r="C5" s="21"/>
      <c r="D5" s="1191" t="str">
        <f>IF(org=0,"Не определено",org)</f>
        <v>ООО "Концессионная Коммунальная Компания"</v>
      </c>
      <c r="E5" s="1192"/>
      <c r="F5" s="1192"/>
      <c r="G5" s="1192"/>
      <c r="H5" s="1192"/>
      <c r="I5" s="1192"/>
      <c r="J5" s="1192"/>
      <c r="K5" s="1192"/>
      <c r="L5" s="1192"/>
      <c r="M5" s="1192"/>
      <c r="N5" s="1192"/>
      <c r="O5" s="1192"/>
      <c r="P5" s="1192"/>
      <c r="Q5" s="1192"/>
      <c r="R5" s="1193"/>
      <c r="S5" s="503"/>
      <c r="T5" s="410"/>
      <c r="U5" s="410"/>
      <c r="V5" s="410"/>
      <c r="W5" s="410"/>
      <c r="X5" s="410"/>
      <c r="Y5" s="410"/>
      <c r="Z5" s="410"/>
      <c r="AA5" s="410"/>
      <c r="AB5" s="410"/>
      <c r="AC5" s="410"/>
      <c r="AD5" s="410"/>
      <c r="AE5" s="293"/>
      <c r="AF5" s="293"/>
      <c r="AG5" s="293"/>
      <c r="AH5" s="293"/>
      <c r="AI5" s="153"/>
      <c r="AJ5" s="65"/>
      <c r="AK5" s="65"/>
      <c r="AL5" s="65"/>
      <c r="AM5" s="65"/>
      <c r="AN5" s="65"/>
      <c r="AO5" s="65"/>
      <c r="AP5" s="65"/>
      <c r="AQ5" s="65"/>
      <c r="AR5" s="65"/>
      <c r="AS5" s="65"/>
    </row>
    <row r="6" spans="1:45" s="133" customFormat="1" ht="11.25" customHeight="1">
      <c r="A6" s="286"/>
      <c r="C6" s="291"/>
      <c r="D6" s="290"/>
      <c r="E6" s="290"/>
      <c r="F6" s="290"/>
      <c r="G6" s="290"/>
      <c r="H6" s="290"/>
      <c r="I6" s="290"/>
      <c r="J6" s="290"/>
      <c r="K6" s="290"/>
      <c r="L6" s="290"/>
      <c r="M6" s="290"/>
      <c r="N6" s="290"/>
      <c r="O6" s="290"/>
      <c r="P6" s="290"/>
      <c r="Q6" s="290"/>
      <c r="R6" s="442"/>
      <c r="S6" s="442"/>
      <c r="T6" s="290"/>
      <c r="U6" s="290"/>
      <c r="V6" s="417"/>
      <c r="W6" s="417"/>
      <c r="X6" s="290"/>
      <c r="Y6" s="290"/>
      <c r="Z6" s="417"/>
      <c r="AA6" s="417"/>
      <c r="AB6" s="290"/>
      <c r="AC6" s="417"/>
      <c r="AD6" s="417"/>
      <c r="AE6" s="290"/>
      <c r="AF6" s="290"/>
      <c r="AG6" s="290"/>
      <c r="AH6" s="290"/>
      <c r="AJ6" s="65"/>
      <c r="AK6" s="65"/>
      <c r="AL6" s="65"/>
      <c r="AM6" s="65"/>
      <c r="AN6" s="65"/>
      <c r="AO6" s="65"/>
      <c r="AP6" s="65"/>
      <c r="AQ6" s="65"/>
      <c r="AR6" s="65"/>
      <c r="AS6" s="65"/>
    </row>
    <row r="7" spans="1:45" ht="14.25" customHeight="1">
      <c r="C7" s="21"/>
      <c r="D7" s="1182" t="s">
        <v>302</v>
      </c>
      <c r="E7" s="1194"/>
      <c r="F7" s="1194"/>
      <c r="G7" s="1194"/>
      <c r="H7" s="1194"/>
      <c r="I7" s="1194"/>
      <c r="J7" s="1194"/>
      <c r="K7" s="1194"/>
      <c r="L7" s="1194"/>
      <c r="M7" s="1194"/>
      <c r="N7" s="1194"/>
      <c r="O7" s="1194"/>
      <c r="P7" s="1194"/>
      <c r="Q7" s="1194"/>
      <c r="R7" s="1194"/>
      <c r="S7" s="1194"/>
      <c r="T7" s="1194"/>
      <c r="U7" s="1194"/>
      <c r="V7" s="1194"/>
      <c r="W7" s="1194"/>
      <c r="X7" s="1194"/>
      <c r="Y7" s="1194"/>
      <c r="Z7" s="1194"/>
      <c r="AA7" s="1194"/>
      <c r="AB7" s="1194"/>
      <c r="AC7" s="1194"/>
      <c r="AD7" s="1195"/>
      <c r="AE7" s="1143" t="s">
        <v>303</v>
      </c>
      <c r="AF7" s="1143" t="s">
        <v>303</v>
      </c>
      <c r="AG7" s="1143" t="s">
        <v>303</v>
      </c>
      <c r="AH7" s="1143" t="s">
        <v>303</v>
      </c>
    </row>
    <row r="8" spans="1:45" ht="25.5" customHeight="1">
      <c r="C8" s="21"/>
      <c r="D8" s="1082" t="s">
        <v>88</v>
      </c>
      <c r="E8" s="1143" t="str">
        <f>"Наименование "&amp;IF(TEMPLATE_SPHERE&lt;&gt;"HEAT","централизованной ","")&amp;"системы "&amp;TEMPLATE_SPHERE_RUS</f>
        <v>Наименование централизованной системы холодного водоснабжения</v>
      </c>
      <c r="F8" s="1143" t="str">
        <f>IF(TEMPLATE_SPHERE&lt;&gt;"HEAT","Регулируемый вид деятельности","Вид регулируемой деятельности")</f>
        <v>Регулируемый вид деятельности</v>
      </c>
      <c r="G8" s="485"/>
      <c r="H8" s="1183" t="s">
        <v>361</v>
      </c>
      <c r="I8" s="1187" t="s">
        <v>362</v>
      </c>
      <c r="J8" s="1143" t="s">
        <v>363</v>
      </c>
      <c r="K8" s="1143"/>
      <c r="L8" s="1143"/>
      <c r="M8" s="1182"/>
      <c r="N8" s="1143" t="s">
        <v>364</v>
      </c>
      <c r="O8" s="1143"/>
      <c r="P8" s="1143" t="s">
        <v>365</v>
      </c>
      <c r="Q8" s="1143"/>
      <c r="R8" s="1185" t="s">
        <v>366</v>
      </c>
      <c r="S8" s="483"/>
      <c r="T8" s="1183" t="s">
        <v>367</v>
      </c>
      <c r="U8" s="1183" t="s">
        <v>368</v>
      </c>
      <c r="V8" s="1183" t="s">
        <v>369</v>
      </c>
      <c r="W8" s="485"/>
      <c r="X8" s="1183" t="s">
        <v>370</v>
      </c>
      <c r="Y8" s="1183" t="s">
        <v>371</v>
      </c>
      <c r="Z8" s="1183" t="s">
        <v>372</v>
      </c>
      <c r="AA8" s="485"/>
      <c r="AB8" s="1183" t="s">
        <v>373</v>
      </c>
      <c r="AC8" s="1183" t="s">
        <v>366</v>
      </c>
      <c r="AD8" s="485"/>
      <c r="AE8" s="1143"/>
      <c r="AF8" s="1143"/>
      <c r="AG8" s="1143"/>
      <c r="AH8" s="1143"/>
    </row>
    <row r="9" spans="1:45" ht="33.75" customHeight="1">
      <c r="C9" s="21"/>
      <c r="D9" s="1082"/>
      <c r="E9" s="1143"/>
      <c r="F9" s="1143"/>
      <c r="G9" s="486"/>
      <c r="H9" s="1184"/>
      <c r="I9" s="1188"/>
      <c r="J9" s="37" t="s">
        <v>374</v>
      </c>
      <c r="K9" s="37" t="s">
        <v>375</v>
      </c>
      <c r="L9" s="37" t="s">
        <v>376</v>
      </c>
      <c r="M9" s="251" t="s">
        <v>377</v>
      </c>
      <c r="N9" s="37" t="s">
        <v>378</v>
      </c>
      <c r="O9" s="37" t="s">
        <v>377</v>
      </c>
      <c r="P9" s="37" t="s">
        <v>379</v>
      </c>
      <c r="Q9" s="37" t="s">
        <v>377</v>
      </c>
      <c r="R9" s="1186"/>
      <c r="S9" s="484"/>
      <c r="T9" s="1184"/>
      <c r="U9" s="1184"/>
      <c r="V9" s="1184"/>
      <c r="W9" s="486"/>
      <c r="X9" s="1184"/>
      <c r="Y9" s="1184"/>
      <c r="Z9" s="1184"/>
      <c r="AA9" s="486"/>
      <c r="AB9" s="1184"/>
      <c r="AC9" s="1184"/>
      <c r="AD9" s="486"/>
      <c r="AE9" s="1143"/>
      <c r="AF9" s="1143"/>
      <c r="AG9" s="1143"/>
      <c r="AH9" s="1143"/>
    </row>
    <row r="10" spans="1:45" ht="12" hidden="1" customHeight="1">
      <c r="C10" s="292"/>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9"/>
      <c r="AP10" s="66"/>
      <c r="AQ10" s="66"/>
    </row>
    <row r="11" spans="1:45" s="209" customFormat="1" ht="11.25" hidden="1" customHeight="1">
      <c r="C11" s="298"/>
      <c r="D11" s="299" t="s">
        <v>380</v>
      </c>
      <c r="E11" s="299"/>
      <c r="F11" s="299"/>
      <c r="G11" s="299"/>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70"/>
      <c r="AF11" s="70"/>
      <c r="AG11" s="70"/>
      <c r="AH11" s="70"/>
      <c r="AJ11" s="65"/>
      <c r="AK11" s="65"/>
      <c r="AL11" s="65"/>
      <c r="AM11" s="65"/>
      <c r="AN11" s="65"/>
      <c r="AO11" s="65"/>
      <c r="AP11" s="65"/>
      <c r="AQ11" s="65"/>
      <c r="AR11" s="65"/>
      <c r="AS11" s="65"/>
    </row>
    <row r="12" spans="1:45" ht="14.25" customHeight="1">
      <c r="A12" s="9"/>
      <c r="C12" s="21"/>
      <c r="D12" s="255" t="s">
        <v>119</v>
      </c>
      <c r="E12" s="409" t="s">
        <v>18</v>
      </c>
      <c r="F12" s="505"/>
      <c r="G12" s="506"/>
      <c r="H12" s="227"/>
      <c r="I12" s="227"/>
      <c r="J12" s="254"/>
      <c r="K12" s="253"/>
      <c r="L12" s="252"/>
      <c r="M12" s="253"/>
      <c r="N12" s="254"/>
      <c r="O12" s="253"/>
      <c r="P12" s="254"/>
      <c r="Q12" s="253"/>
      <c r="R12" s="254"/>
      <c r="S12" s="504"/>
      <c r="T12" s="227"/>
      <c r="U12" s="254"/>
      <c r="V12" s="254"/>
      <c r="W12" s="486"/>
      <c r="X12" s="227"/>
      <c r="Y12" s="254"/>
      <c r="Z12" s="254"/>
      <c r="AA12" s="486"/>
      <c r="AB12" s="227"/>
      <c r="AC12" s="254"/>
      <c r="AD12" s="486"/>
      <c r="AE12" s="1189" t="s">
        <v>381</v>
      </c>
      <c r="AF12" s="1189" t="s">
        <v>382</v>
      </c>
      <c r="AG12" s="1189" t="s">
        <v>383</v>
      </c>
      <c r="AH12" s="1189" t="s">
        <v>384</v>
      </c>
      <c r="AI12" s="9"/>
      <c r="AP12" s="66" t="s">
        <v>385</v>
      </c>
      <c r="AQ12" s="66" t="s">
        <v>385</v>
      </c>
    </row>
    <row r="13" spans="1:45" ht="17.25" customHeight="1">
      <c r="A13" s="9"/>
      <c r="C13" s="21"/>
      <c r="D13" s="152"/>
      <c r="E13" s="518" t="str">
        <f>IF(TITLE_DIFFERENTIATION_TYPE="нет","","Добавить систему")</f>
        <v/>
      </c>
      <c r="F13" s="518" t="str">
        <f>IF(TITLE_DIFFERENTIATION_TYPE="нет","Добавить вид деятельности","")</f>
        <v>Добавить вид деятельности</v>
      </c>
      <c r="G13" s="183"/>
      <c r="H13" s="245"/>
      <c r="I13" s="245"/>
      <c r="J13" s="245"/>
      <c r="K13" s="245"/>
      <c r="L13" s="245"/>
      <c r="M13" s="245"/>
      <c r="N13" s="245"/>
      <c r="O13" s="245"/>
      <c r="P13" s="245"/>
      <c r="Q13" s="245"/>
      <c r="R13" s="245"/>
      <c r="S13" s="245"/>
      <c r="T13" s="245"/>
      <c r="U13" s="245"/>
      <c r="V13" s="245"/>
      <c r="W13" s="245"/>
      <c r="X13" s="245"/>
      <c r="Y13" s="245"/>
      <c r="Z13" s="245"/>
      <c r="AA13" s="245"/>
      <c r="AB13" s="245"/>
      <c r="AC13" s="245"/>
      <c r="AD13" s="507"/>
      <c r="AE13" s="1190"/>
      <c r="AF13" s="1190"/>
      <c r="AG13" s="1190"/>
      <c r="AH13" s="1190"/>
      <c r="AI13" s="9"/>
    </row>
    <row r="14" spans="1:45" ht="14.25" customHeight="1">
      <c r="AI14" s="9"/>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O12 Q12 K12 M12 H12:I12 T12 X12 AB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80ED1-953F-6C22-C775-36CB41E1A6FF}">
  <sheetPr>
    <tabColor theme="3" tint="0.59999389629810485"/>
  </sheetPr>
  <dimension ref="A1:U17"/>
  <sheetViews>
    <sheetView showGridLines="0" topLeftCell="C5" zoomScale="90" workbookViewId="0"/>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38.140625" style="9" customWidth="1"/>
    <col min="6" max="7" width="3.7109375" style="9" customWidth="1"/>
    <col min="8" max="8" width="38.28515625" style="9" customWidth="1"/>
    <col min="9" max="9" width="35.7109375" style="9" customWidth="1"/>
    <col min="10" max="10" width="103.7109375" style="9" customWidth="1"/>
    <col min="11" max="11" width="3.7109375" style="43" customWidth="1"/>
    <col min="12" max="14" width="10.5703125" style="65"/>
    <col min="15" max="15" width="13.7109375" style="65" customWidth="1"/>
    <col min="16" max="16" width="15.42578125" style="65" customWidth="1"/>
    <col min="17" max="17" width="16.28515625" style="65" customWidth="1"/>
    <col min="18" max="21" width="10.5703125" style="65"/>
  </cols>
  <sheetData>
    <row r="1" spans="1:21" ht="14.25" hidden="1" customHeight="1">
      <c r="E1" s="247"/>
      <c r="F1" s="247"/>
      <c r="G1" s="247"/>
      <c r="H1" s="1070" t="s">
        <v>356</v>
      </c>
      <c r="I1" s="1070"/>
    </row>
    <row r="2" spans="1:21" s="9" customFormat="1" ht="14.25" hidden="1" customHeight="1">
      <c r="C2" s="21"/>
      <c r="D2" s="1196" t="s">
        <v>119</v>
      </c>
      <c r="E2" s="1198"/>
      <c r="F2" s="921"/>
      <c r="G2" s="41" t="s">
        <v>119</v>
      </c>
      <c r="H2" s="226"/>
      <c r="I2" s="922"/>
      <c r="L2" s="65"/>
      <c r="M2" s="65"/>
      <c r="N2" s="65"/>
      <c r="O2" s="65" t="s">
        <v>386</v>
      </c>
      <c r="P2" s="65"/>
      <c r="Q2" s="65"/>
      <c r="R2" s="66" t="s">
        <v>385</v>
      </c>
      <c r="S2" s="66" t="s">
        <v>385</v>
      </c>
      <c r="T2" s="65"/>
      <c r="U2" s="65"/>
    </row>
    <row r="3" spans="1:21" s="9" customFormat="1" ht="14.25" hidden="1" customHeight="1">
      <c r="C3" s="21"/>
      <c r="D3" s="1197"/>
      <c r="E3" s="1199"/>
      <c r="F3" s="152"/>
      <c r="G3" s="518"/>
      <c r="H3" s="518" t="s">
        <v>387</v>
      </c>
      <c r="I3" s="183"/>
      <c r="L3" s="65"/>
      <c r="M3" s="65"/>
      <c r="N3" s="65"/>
      <c r="O3" s="65"/>
      <c r="P3" s="65"/>
      <c r="Q3" s="65"/>
      <c r="R3" s="66"/>
      <c r="S3" s="66"/>
      <c r="T3" s="65"/>
      <c r="U3" s="65"/>
    </row>
    <row r="4" spans="1:21" ht="14.25" hidden="1" customHeight="1"/>
    <row r="5" spans="1:21" s="411" customFormat="1" ht="6" customHeight="1">
      <c r="C5" s="412"/>
      <c r="D5" s="413"/>
      <c r="E5" s="413"/>
      <c r="F5" s="413"/>
      <c r="G5" s="413"/>
      <c r="H5" s="413" t="s">
        <v>360</v>
      </c>
      <c r="I5" s="413"/>
      <c r="J5" s="413"/>
      <c r="L5" s="65"/>
      <c r="M5" s="65"/>
      <c r="N5" s="65"/>
      <c r="O5" s="65"/>
      <c r="P5" s="65"/>
      <c r="Q5" s="65"/>
      <c r="R5" s="65"/>
      <c r="S5" s="65"/>
      <c r="T5" s="65"/>
      <c r="U5" s="65"/>
    </row>
    <row r="6" spans="1:21" ht="17.25" customHeight="1">
      <c r="C6" s="21"/>
      <c r="D6" s="1075" t="s">
        <v>388</v>
      </c>
      <c r="E6" s="1076"/>
      <c r="F6" s="1076"/>
      <c r="G6" s="1076"/>
      <c r="H6" s="1076"/>
      <c r="I6" s="1076"/>
      <c r="J6" s="293"/>
      <c r="K6" s="153"/>
    </row>
    <row r="7" spans="1:21" ht="17.25" customHeight="1">
      <c r="C7" s="21"/>
      <c r="D7" s="1191" t="str">
        <f>IF(org=0,"Не определено",org)</f>
        <v>ООО "Концессионная Коммунальная Компания"</v>
      </c>
      <c r="E7" s="1192"/>
      <c r="F7" s="1192"/>
      <c r="G7" s="1192"/>
      <c r="H7" s="1192"/>
      <c r="I7" s="1192"/>
      <c r="J7" s="293"/>
      <c r="K7" s="153"/>
    </row>
    <row r="8" spans="1:21" s="133" customFormat="1" ht="6" customHeight="1">
      <c r="A8" s="286"/>
      <c r="C8" s="291"/>
      <c r="D8" s="290"/>
      <c r="E8" s="290"/>
      <c r="F8" s="290"/>
      <c r="G8" s="290"/>
      <c r="H8" s="290"/>
      <c r="I8" s="290"/>
      <c r="J8" s="290"/>
      <c r="L8" s="65"/>
      <c r="M8" s="65"/>
      <c r="N8" s="65"/>
      <c r="O8" s="65"/>
      <c r="P8" s="65"/>
      <c r="Q8" s="65"/>
      <c r="R8" s="65"/>
      <c r="S8" s="65"/>
      <c r="T8" s="65"/>
      <c r="U8" s="65"/>
    </row>
    <row r="9" spans="1:21" s="133" customFormat="1" ht="6" customHeight="1">
      <c r="A9" s="286"/>
      <c r="C9" s="291"/>
      <c r="D9" s="290"/>
      <c r="E9" s="290"/>
      <c r="F9" s="290"/>
      <c r="G9" s="290"/>
      <c r="H9" s="290"/>
      <c r="I9" s="290"/>
      <c r="J9" s="290"/>
      <c r="L9" s="65"/>
      <c r="M9" s="65"/>
      <c r="N9" s="65"/>
      <c r="O9" s="65"/>
      <c r="P9" s="65"/>
      <c r="Q9" s="65"/>
      <c r="R9" s="65"/>
      <c r="S9" s="65"/>
      <c r="T9" s="65"/>
      <c r="U9" s="65"/>
    </row>
    <row r="10" spans="1:21" ht="14.25" customHeight="1">
      <c r="C10" s="21"/>
      <c r="D10" s="1182" t="s">
        <v>302</v>
      </c>
      <c r="E10" s="1194"/>
      <c r="F10" s="1194"/>
      <c r="G10" s="1194"/>
      <c r="H10" s="1194"/>
      <c r="I10" s="1194"/>
      <c r="J10" s="1143" t="s">
        <v>303</v>
      </c>
    </row>
    <row r="11" spans="1:21" ht="25.5" customHeight="1">
      <c r="C11" s="21"/>
      <c r="D11" s="1082" t="s">
        <v>88</v>
      </c>
      <c r="E11" s="1143" t="str">
        <f>IF(TEMPLATE_SPHERE&lt;&gt;"HEAT","Регулируемый вид деятельности","Вид регулируемой деятельности")</f>
        <v>Регулируемый вид деятельности</v>
      </c>
      <c r="F11" s="1146" t="s">
        <v>88</v>
      </c>
      <c r="G11" s="1147"/>
      <c r="H11" s="1145" t="s">
        <v>389</v>
      </c>
      <c r="I11" s="1145" t="s">
        <v>390</v>
      </c>
      <c r="J11" s="1143"/>
    </row>
    <row r="12" spans="1:21" ht="14.25" customHeight="1">
      <c r="C12" s="21"/>
      <c r="D12" s="1082"/>
      <c r="E12" s="1143"/>
      <c r="F12" s="1151"/>
      <c r="G12" s="1152"/>
      <c r="H12" s="1200"/>
      <c r="I12" s="1200"/>
      <c r="J12" s="1143"/>
    </row>
    <row r="13" spans="1:21" s="209" customFormat="1" ht="11.25" customHeight="1">
      <c r="C13" s="298"/>
      <c r="D13" s="299" t="s">
        <v>380</v>
      </c>
      <c r="E13" s="299"/>
      <c r="F13" s="299"/>
      <c r="G13" s="299"/>
      <c r="H13" s="297"/>
      <c r="I13" s="297"/>
      <c r="J13" s="70"/>
      <c r="L13" s="65"/>
      <c r="M13" s="65"/>
      <c r="N13" s="65"/>
      <c r="O13" s="65"/>
      <c r="P13" s="65"/>
      <c r="Q13" s="65"/>
      <c r="R13" s="65"/>
      <c r="S13" s="65"/>
      <c r="T13" s="65"/>
      <c r="U13" s="65"/>
    </row>
    <row r="14" spans="1:21" ht="14.25" customHeight="1">
      <c r="A14" s="9"/>
      <c r="C14" s="21"/>
      <c r="D14" s="1196" t="s">
        <v>119</v>
      </c>
      <c r="E14" s="1198"/>
      <c r="F14" s="921"/>
      <c r="G14" s="41" t="s">
        <v>119</v>
      </c>
      <c r="H14" s="226"/>
      <c r="I14" s="922"/>
      <c r="J14" s="1135" t="s">
        <v>391</v>
      </c>
      <c r="K14" s="9"/>
      <c r="R14" s="66" t="s">
        <v>385</v>
      </c>
      <c r="S14" s="66" t="s">
        <v>385</v>
      </c>
    </row>
    <row r="15" spans="1:21" ht="14.25" customHeight="1">
      <c r="A15" s="9"/>
      <c r="C15" s="21"/>
      <c r="D15" s="1197"/>
      <c r="E15" s="1199"/>
      <c r="F15" s="152"/>
      <c r="G15" s="518"/>
      <c r="H15" s="518" t="s">
        <v>387</v>
      </c>
      <c r="I15" s="183"/>
      <c r="J15" s="1136"/>
      <c r="K15" s="9"/>
      <c r="R15" s="66"/>
      <c r="S15" s="66"/>
    </row>
    <row r="16" spans="1:21" ht="14.25" customHeight="1">
      <c r="A16" s="9"/>
      <c r="C16" s="21"/>
      <c r="D16" s="152"/>
      <c r="E16" s="518" t="s">
        <v>137</v>
      </c>
      <c r="F16" s="183"/>
      <c r="G16" s="183"/>
      <c r="H16" s="245"/>
      <c r="I16" s="245"/>
      <c r="J16" s="1137"/>
      <c r="K16" s="9"/>
    </row>
    <row r="17" spans="11:11" ht="14.25" customHeight="1">
      <c r="K17" s="9"/>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70F72-F445-36B7-0566-A8EA912232D8}">
  <sheetPr>
    <tabColor theme="3" tint="0.59999389629810485"/>
  </sheetPr>
  <dimension ref="A1:V15"/>
  <sheetViews>
    <sheetView showGridLines="0" topLeftCell="D3" zoomScale="90" workbookViewId="0"/>
  </sheetViews>
  <sheetFormatPr defaultColWidth="10.5703125" defaultRowHeight="14.25" customHeight="1"/>
  <cols>
    <col min="1" max="1" width="9.140625" style="6" hidden="1" customWidth="1"/>
    <col min="2" max="3" width="9.140625" style="9" hidden="1" customWidth="1"/>
    <col min="4" max="4" width="3.7109375" style="74" customWidth="1"/>
    <col min="5" max="5" width="6.28515625" style="9" customWidth="1"/>
    <col min="6" max="6" width="1.7109375" style="9" hidden="1" customWidth="1"/>
    <col min="7" max="8" width="30.7109375" style="9" customWidth="1"/>
    <col min="9" max="9" width="9" style="9" customWidth="1"/>
    <col min="10" max="10" width="12.140625" style="9" customWidth="1"/>
    <col min="11" max="11" width="46.7109375" style="9" customWidth="1"/>
    <col min="12" max="12" width="100.28515625" style="9" customWidth="1"/>
    <col min="13" max="13" width="7.5703125" style="43" customWidth="1"/>
    <col min="14" max="22" width="10.5703125" style="9"/>
  </cols>
  <sheetData>
    <row r="1" spans="1:22" s="65" customFormat="1" ht="5.25" hidden="1" customHeight="1">
      <c r="D1" s="119"/>
      <c r="G1" s="65" t="s">
        <v>83</v>
      </c>
      <c r="H1" s="65" t="s">
        <v>84</v>
      </c>
      <c r="I1" s="65" t="s">
        <v>85</v>
      </c>
      <c r="P1" s="65" t="s">
        <v>83</v>
      </c>
      <c r="Q1" s="65" t="s">
        <v>84</v>
      </c>
      <c r="R1" s="65" t="s">
        <v>85</v>
      </c>
    </row>
    <row r="2" spans="1:22" s="65" customFormat="1" ht="5.25" hidden="1" customHeight="1">
      <c r="D2" s="119"/>
    </row>
    <row r="3" spans="1:22" s="133" customFormat="1" ht="6" customHeight="1">
      <c r="A3" s="286"/>
      <c r="D3" s="291"/>
      <c r="E3" s="131"/>
      <c r="F3" s="131"/>
      <c r="G3" s="131"/>
      <c r="H3" s="131"/>
      <c r="I3" s="287"/>
      <c r="J3" s="288"/>
      <c r="K3" s="288"/>
      <c r="L3" s="288"/>
    </row>
    <row r="4" spans="1:22" ht="22.5" customHeight="1">
      <c r="D4" s="21"/>
      <c r="E4" s="1075" t="s">
        <v>392</v>
      </c>
      <c r="F4" s="1075"/>
      <c r="G4" s="1076"/>
      <c r="H4" s="1076"/>
      <c r="I4" s="1077"/>
      <c r="J4" s="293"/>
      <c r="K4" s="160"/>
      <c r="L4" s="160"/>
    </row>
    <row r="5" spans="1:22" s="9" customFormat="1" ht="17.25" customHeight="1">
      <c r="A5" s="6"/>
      <c r="D5" s="21"/>
      <c r="E5" s="1191" t="str">
        <f>IF(org=0,"Не определено",org)</f>
        <v>ООО "Концессионная Коммунальная Компания"</v>
      </c>
      <c r="F5" s="1191"/>
      <c r="G5" s="1192"/>
      <c r="H5" s="1192"/>
      <c r="I5" s="1193"/>
      <c r="J5" s="293"/>
      <c r="K5" s="160"/>
      <c r="L5" s="160"/>
      <c r="M5" s="43"/>
    </row>
    <row r="6" spans="1:22" s="133" customFormat="1" ht="11.25" customHeight="1">
      <c r="A6" s="286"/>
      <c r="D6" s="291"/>
      <c r="E6" s="131"/>
      <c r="F6" s="131"/>
      <c r="G6" s="289"/>
      <c r="H6" s="289"/>
      <c r="I6" s="290"/>
      <c r="J6" s="290"/>
      <c r="K6" s="442"/>
      <c r="L6" s="290"/>
    </row>
    <row r="7" spans="1:22" ht="14.25" customHeight="1">
      <c r="D7" s="21"/>
      <c r="E7" s="1175" t="s">
        <v>302</v>
      </c>
      <c r="F7" s="1175"/>
      <c r="G7" s="1176"/>
      <c r="H7" s="1176"/>
      <c r="I7" s="1176"/>
      <c r="J7" s="1176"/>
      <c r="K7" s="1176"/>
      <c r="L7" s="1143" t="s">
        <v>303</v>
      </c>
    </row>
    <row r="8" spans="1:22" ht="45" customHeight="1">
      <c r="D8" s="21"/>
      <c r="E8" s="34" t="s">
        <v>88</v>
      </c>
      <c r="F8" s="34"/>
      <c r="G8" s="39" t="s">
        <v>86</v>
      </c>
      <c r="H8" s="39" t="s">
        <v>87</v>
      </c>
      <c r="I8" s="37" t="s">
        <v>85</v>
      </c>
      <c r="J8" s="37" t="s">
        <v>393</v>
      </c>
      <c r="K8" s="37" t="s">
        <v>394</v>
      </c>
      <c r="L8" s="1143"/>
    </row>
    <row r="9" spans="1:22" ht="12" hidden="1" customHeight="1">
      <c r="D9" s="292"/>
      <c r="E9" s="295"/>
      <c r="F9" s="295"/>
      <c r="G9" s="295"/>
      <c r="H9" s="295"/>
      <c r="I9" s="295"/>
      <c r="J9" s="295"/>
      <c r="K9" s="295"/>
      <c r="L9" s="295"/>
      <c r="M9" s="9"/>
    </row>
    <row r="10" spans="1:22" ht="14.25" hidden="1" customHeight="1">
      <c r="A10" s="9"/>
      <c r="D10" s="21"/>
      <c r="E10" s="39">
        <v>0</v>
      </c>
      <c r="F10" s="39"/>
      <c r="G10" s="62"/>
      <c r="H10" s="62"/>
      <c r="I10" s="62"/>
      <c r="J10" s="62"/>
      <c r="K10" s="62"/>
      <c r="L10" s="1189" t="s">
        <v>395</v>
      </c>
    </row>
    <row r="11" spans="1:22" ht="15" hidden="1" customHeight="1">
      <c r="A11" s="1066"/>
      <c r="B11" s="2"/>
      <c r="C11" s="2"/>
      <c r="D11" s="514"/>
      <c r="E11" s="302"/>
      <c r="F11" s="302"/>
      <c r="G11" s="302"/>
      <c r="H11" s="302"/>
      <c r="I11" s="221"/>
      <c r="J11" s="303"/>
      <c r="K11" s="418"/>
      <c r="L11" s="1201"/>
      <c r="M11" s="65"/>
      <c r="N11" s="65"/>
      <c r="O11" s="65"/>
      <c r="P11" s="304"/>
      <c r="Q11" s="304"/>
      <c r="R11" s="305"/>
      <c r="S11" s="65"/>
      <c r="T11" s="65"/>
      <c r="U11" s="65"/>
      <c r="V11" s="65"/>
    </row>
    <row r="12" spans="1:22" s="133" customFormat="1" ht="14.25" customHeight="1">
      <c r="A12" s="1066"/>
      <c r="B12" s="2"/>
      <c r="C12" s="2"/>
      <c r="D12" s="515"/>
      <c r="E12" s="34">
        <v>1</v>
      </c>
      <c r="F12" s="513">
        <v>23</v>
      </c>
      <c r="G12" s="512"/>
      <c r="H12" s="468"/>
      <c r="I12" s="466"/>
      <c r="J12" s="307" t="s">
        <v>59</v>
      </c>
      <c r="K12" s="114" t="s">
        <v>18</v>
      </c>
      <c r="L12" s="1201"/>
      <c r="M12" s="65"/>
      <c r="N12" s="65"/>
      <c r="O12" s="65"/>
      <c r="P12" s="304" t="s">
        <v>396</v>
      </c>
      <c r="Q12" s="304" t="s">
        <v>397</v>
      </c>
      <c r="R12" s="305" t="s">
        <v>398</v>
      </c>
      <c r="S12" s="65" t="s">
        <v>399</v>
      </c>
      <c r="T12" s="65"/>
      <c r="U12" s="65"/>
      <c r="V12" s="65"/>
    </row>
    <row r="13" spans="1:22" ht="15" customHeight="1">
      <c r="A13" s="1066"/>
      <c r="D13" s="21"/>
      <c r="E13" s="152"/>
      <c r="F13" s="311"/>
      <c r="G13" s="50" t="s">
        <v>102</v>
      </c>
      <c r="H13" s="244"/>
      <c r="I13" s="244"/>
      <c r="J13" s="244"/>
      <c r="K13" s="243"/>
      <c r="L13" s="1190"/>
      <c r="M13" s="9"/>
    </row>
    <row r="14" spans="1:22" ht="11.25" customHeight="1">
      <c r="A14" s="286"/>
      <c r="B14" s="133"/>
      <c r="C14" s="133"/>
      <c r="D14" s="296"/>
      <c r="E14" s="133"/>
      <c r="F14" s="133"/>
      <c r="G14" s="133"/>
      <c r="H14" s="133"/>
      <c r="I14" s="133"/>
      <c r="J14" s="133"/>
      <c r="K14" s="133"/>
      <c r="L14" s="133"/>
      <c r="M14" s="133"/>
      <c r="N14" s="133"/>
      <c r="O14" s="133"/>
      <c r="P14" s="133"/>
      <c r="Q14" s="133"/>
      <c r="R14" s="133"/>
      <c r="S14" s="133"/>
      <c r="T14" s="133"/>
      <c r="U14" s="133"/>
      <c r="V14" s="133"/>
    </row>
    <row r="15" spans="1:22" ht="14.25" customHeight="1">
      <c r="D15" s="274"/>
      <c r="E15" s="204"/>
      <c r="F15" s="204"/>
      <c r="G15" s="3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74"/>
      <c r="I15" s="274"/>
      <c r="J15" s="274"/>
      <c r="K15" s="274"/>
      <c r="L15" s="274"/>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1C45C-E7FB-E712-210A-B40B41423C79}">
  <sheetPr>
    <tabColor rgb="FFFFCC99"/>
  </sheetPr>
  <dimension ref="A2:GB203"/>
  <sheetViews>
    <sheetView showGridLines="0" zoomScale="85" workbookViewId="0"/>
  </sheetViews>
  <sheetFormatPr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1016" customFormat="1" ht="17.25" customHeight="1">
      <c r="A2" s="1016" t="s">
        <v>400</v>
      </c>
    </row>
    <row r="4" spans="1:80" s="4" customFormat="1" ht="15" customHeight="1">
      <c r="C4" s="21"/>
      <c r="D4" s="42"/>
      <c r="E4" s="226"/>
    </row>
    <row r="6" spans="1:80" s="1016" customFormat="1" ht="17.25" customHeight="1">
      <c r="A6" s="1016" t="s">
        <v>401</v>
      </c>
    </row>
    <row r="8" spans="1:80" s="4" customFormat="1" ht="17.25" customHeight="1">
      <c r="C8" s="1017"/>
      <c r="D8" s="42"/>
      <c r="E8" s="35"/>
    </row>
    <row r="11" spans="1:80" s="1016" customFormat="1" ht="17.25" customHeight="1">
      <c r="A11" s="1016" t="s">
        <v>402</v>
      </c>
    </row>
    <row r="13" spans="1:80" s="43" customFormat="1" ht="15" customHeight="1">
      <c r="A13" s="1070">
        <v>1</v>
      </c>
      <c r="B13" s="60"/>
      <c r="C13" s="475" t="s">
        <v>104</v>
      </c>
      <c r="D13" s="74"/>
      <c r="E13" s="39">
        <f>A13</f>
        <v>1</v>
      </c>
      <c r="F13" s="477"/>
      <c r="G13" s="316" t="str">
        <f>"Территория "&amp;E13</f>
        <v>Территория 1</v>
      </c>
      <c r="H13" s="467"/>
      <c r="I13" s="467"/>
      <c r="J13" s="66"/>
      <c r="K13" s="66"/>
      <c r="L13" s="66"/>
      <c r="M13" s="66"/>
      <c r="N13" s="66"/>
      <c r="O13" s="66"/>
      <c r="P13" s="123"/>
      <c r="Q13" s="123"/>
      <c r="R13" s="123"/>
      <c r="S13" s="123"/>
    </row>
    <row r="14" spans="1:80" ht="15" customHeight="1">
      <c r="A14" s="1070"/>
      <c r="B14" s="60">
        <v>1</v>
      </c>
      <c r="C14" s="60"/>
      <c r="D14" s="474" t="s">
        <v>104</v>
      </c>
      <c r="E14" s="459" t="str">
        <f>A13&amp;"."&amp;B14</f>
        <v>1.1</v>
      </c>
      <c r="F14" s="476">
        <f>$F$16</f>
        <v>0</v>
      </c>
      <c r="G14" s="468"/>
      <c r="H14" s="468"/>
      <c r="I14" s="466"/>
      <c r="J14" s="66" t="e">
        <f ca="1">MERGEVALUE(G14)</f>
        <v>#NAME?</v>
      </c>
      <c r="K14" s="65"/>
      <c r="L14" s="65"/>
      <c r="M14" s="66" t="str">
        <f t="array" ref="M14">IF(ISERROR(MATCH(MID(N14,1,250),MID(note_ter,1,250),0)),"n","y")</f>
        <v>n</v>
      </c>
      <c r="N14" s="65"/>
      <c r="O14" s="66" t="str">
        <f>H14&amp;"("&amp;I14&amp;")"</f>
        <v>()</v>
      </c>
      <c r="P14" s="60"/>
      <c r="Q14" s="60"/>
      <c r="R14" s="248"/>
      <c r="S14" s="60"/>
      <c r="T14" s="60"/>
      <c r="U14" s="60"/>
      <c r="V14" s="59"/>
      <c r="W14" s="59"/>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59"/>
      <c r="BT14" s="59"/>
      <c r="BU14" s="59"/>
      <c r="BV14" s="59"/>
      <c r="BW14" s="59"/>
      <c r="BX14" s="59"/>
      <c r="BY14" s="59"/>
      <c r="BZ14" s="59"/>
      <c r="CA14" s="59"/>
      <c r="CB14" s="59"/>
    </row>
    <row r="15" spans="1:80" ht="15" customHeight="1">
      <c r="A15" s="1070"/>
      <c r="B15" s="60"/>
      <c r="C15" s="247"/>
      <c r="D15" s="475"/>
      <c r="E15" s="249"/>
      <c r="F15" s="85"/>
      <c r="G15" s="107" t="s">
        <v>102</v>
      </c>
      <c r="H15" s="94"/>
      <c r="I15" s="250"/>
      <c r="J15" s="65"/>
      <c r="K15" s="65"/>
      <c r="L15" s="65"/>
      <c r="M15" s="65"/>
      <c r="N15" s="66"/>
      <c r="O15" s="65"/>
      <c r="P15" s="60"/>
      <c r="Q15" s="60"/>
      <c r="R15" s="248"/>
      <c r="S15" s="60"/>
      <c r="T15" s="60"/>
      <c r="U15" s="60"/>
      <c r="V15" s="59"/>
      <c r="W15" s="59"/>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59"/>
      <c r="BT15" s="59"/>
      <c r="BU15" s="59"/>
      <c r="BV15" s="59"/>
      <c r="BW15" s="59"/>
      <c r="BX15" s="59"/>
      <c r="BY15" s="59"/>
      <c r="BZ15" s="59"/>
      <c r="CA15" s="59"/>
      <c r="CB15" s="59"/>
    </row>
    <row r="17" spans="1:38" ht="15" customHeight="1">
      <c r="A17" s="1016" t="s">
        <v>403</v>
      </c>
      <c r="B17" s="1016"/>
      <c r="C17" s="1016"/>
      <c r="D17" s="1016"/>
      <c r="E17" s="1016"/>
      <c r="F17" s="1016"/>
      <c r="G17" s="1016"/>
      <c r="H17" s="1016"/>
      <c r="I17" s="1016"/>
      <c r="J17" s="1016"/>
      <c r="K17" s="1016"/>
      <c r="L17" s="1016"/>
      <c r="M17" s="1016"/>
      <c r="N17" s="1016"/>
      <c r="O17" s="1016"/>
      <c r="P17" s="1016"/>
      <c r="Q17" s="1016"/>
      <c r="R17" s="1016"/>
      <c r="S17" s="1016"/>
      <c r="T17" s="1016"/>
      <c r="U17" s="92"/>
      <c r="V17" s="1016"/>
      <c r="W17" s="1016"/>
    </row>
    <row r="18" spans="1:38" ht="15" customHeight="1">
      <c r="U18" s="93"/>
    </row>
    <row r="19" spans="1:38" s="33" customFormat="1" ht="15" customHeight="1">
      <c r="A19"/>
      <c r="B19"/>
      <c r="C19" s="968" t="s">
        <v>104</v>
      </c>
      <c r="D19" s="1093" t="s">
        <v>119</v>
      </c>
      <c r="E19" s="1101"/>
      <c r="F19" s="1092" t="s">
        <v>57</v>
      </c>
      <c r="G19" s="1102"/>
      <c r="H19" s="1082">
        <v>1</v>
      </c>
      <c r="I19" s="1245" t="str">
        <f>IF(U19="","",INDEX(TERRITORY_MR_LIST,MATCH(U19,TERRITORY_LIST_ID,0)))</f>
        <v/>
      </c>
      <c r="J19" s="1092" t="s">
        <v>57</v>
      </c>
      <c r="K19" s="487"/>
      <c r="L19" s="41" t="s">
        <v>119</v>
      </c>
      <c r="M19" s="359"/>
      <c r="N19" s="79"/>
      <c r="O19" s="79"/>
      <c r="P19" s="79"/>
      <c r="Q19" s="79"/>
      <c r="R19" s="79"/>
      <c r="S19" s="79"/>
      <c r="T19" s="79"/>
      <c r="U19" s="360"/>
      <c r="V19" s="79"/>
      <c r="W19" s="79"/>
      <c r="X19" s="79"/>
      <c r="Y19" s="79" t="s">
        <v>128</v>
      </c>
      <c r="Z19" s="79">
        <v>1705000</v>
      </c>
      <c r="AA19" s="79"/>
      <c r="AB19" s="79"/>
      <c r="AC19" s="79"/>
      <c r="AD19" s="79"/>
      <c r="AE19" s="79"/>
      <c r="AF19" s="79"/>
      <c r="AG19" s="79"/>
      <c r="AH19" s="79"/>
      <c r="AI19" s="79"/>
      <c r="AJ19" s="79"/>
      <c r="AK19" s="79"/>
      <c r="AL19" s="79"/>
    </row>
    <row r="20" spans="1:38" s="33" customFormat="1" ht="15" customHeight="1">
      <c r="A20"/>
      <c r="B20"/>
      <c r="C20" s="84"/>
      <c r="D20" s="1093"/>
      <c r="E20" s="1101"/>
      <c r="F20" s="1092"/>
      <c r="G20" s="1103"/>
      <c r="H20" s="1082"/>
      <c r="I20" s="1246"/>
      <c r="J20" s="1092"/>
      <c r="K20" s="249"/>
      <c r="L20" s="85"/>
      <c r="M20" s="361" t="s">
        <v>129</v>
      </c>
      <c r="N20" s="79"/>
      <c r="O20" s="79"/>
      <c r="P20" s="79"/>
      <c r="Q20" s="79"/>
      <c r="R20" s="79"/>
      <c r="S20" s="79"/>
      <c r="T20" s="79"/>
      <c r="U20" s="360"/>
      <c r="V20" s="79"/>
      <c r="W20" s="79"/>
      <c r="X20" s="79"/>
      <c r="Y20" s="79"/>
      <c r="Z20" s="79"/>
      <c r="AA20" s="79"/>
      <c r="AB20" s="79"/>
      <c r="AC20" s="79"/>
      <c r="AD20" s="79"/>
      <c r="AE20" s="79"/>
      <c r="AF20" s="79"/>
      <c r="AG20" s="79"/>
      <c r="AH20" s="79"/>
      <c r="AI20" s="79"/>
      <c r="AJ20" s="79"/>
      <c r="AK20" s="79"/>
      <c r="AL20" s="79"/>
    </row>
    <row r="21" spans="1:38" s="33" customFormat="1" ht="15" customHeight="1">
      <c r="A21"/>
      <c r="B21"/>
      <c r="C21" s="84"/>
      <c r="D21" s="1093"/>
      <c r="E21" s="1101"/>
      <c r="F21" s="1092"/>
      <c r="G21" s="249"/>
      <c r="H21" s="85"/>
      <c r="I21" s="107" t="s">
        <v>132</v>
      </c>
      <c r="J21" s="85"/>
      <c r="K21" s="85"/>
      <c r="L21" s="85"/>
      <c r="M21" s="362"/>
      <c r="N21" s="79"/>
      <c r="O21" s="79"/>
      <c r="P21" s="79"/>
      <c r="Q21" s="79"/>
      <c r="R21" s="79"/>
      <c r="S21" s="79"/>
      <c r="T21" s="79"/>
      <c r="U21" s="360"/>
      <c r="V21" s="79"/>
      <c r="W21" s="79"/>
      <c r="X21" s="79"/>
      <c r="Y21" s="79"/>
      <c r="Z21" s="79"/>
      <c r="AA21" s="79"/>
      <c r="AB21" s="79"/>
      <c r="AC21" s="79"/>
      <c r="AD21" s="79"/>
      <c r="AE21" s="79"/>
      <c r="AF21" s="79"/>
      <c r="AG21" s="79"/>
      <c r="AH21" s="79"/>
      <c r="AI21" s="79"/>
      <c r="AJ21" s="79"/>
      <c r="AK21" s="79"/>
      <c r="AL21" s="79"/>
    </row>
    <row r="22" spans="1:38" ht="15" customHeight="1">
      <c r="U22" s="93"/>
    </row>
    <row r="23" spans="1:38" ht="15" customHeight="1">
      <c r="A23" s="1016" t="s">
        <v>404</v>
      </c>
      <c r="B23" s="1016"/>
      <c r="C23" s="1016"/>
      <c r="D23" s="1016"/>
      <c r="E23" s="1016"/>
      <c r="F23" s="1016"/>
      <c r="G23" s="1016"/>
      <c r="H23" s="1016"/>
      <c r="I23" s="1016"/>
      <c r="J23" s="1016"/>
      <c r="K23" s="1016"/>
      <c r="L23" s="1016"/>
      <c r="M23" s="1016"/>
      <c r="N23" s="1016"/>
      <c r="O23" s="1016"/>
      <c r="P23" s="1016"/>
      <c r="Q23" s="1016"/>
      <c r="R23" s="1016"/>
      <c r="S23" s="1016"/>
      <c r="T23" s="1016"/>
      <c r="U23" s="92"/>
      <c r="V23" s="1016"/>
      <c r="W23" s="1016"/>
    </row>
    <row r="24" spans="1:38" ht="15" customHeight="1">
      <c r="U24" s="93"/>
    </row>
    <row r="25" spans="1:38" s="33" customFormat="1" ht="15" customHeight="1">
      <c r="A25"/>
      <c r="B25"/>
      <c r="C25" s="84"/>
      <c r="D25" s="443"/>
      <c r="E25" s="443"/>
      <c r="F25" s="443"/>
      <c r="G25" s="1108" t="s">
        <v>104</v>
      </c>
      <c r="H25" s="1062">
        <v>1</v>
      </c>
      <c r="I25" s="1109" t="str">
        <f>IF(U25="","",INDEX(TERRITORY_MR_LIST,MATCH(U25,TERRITORY_LIST_ID,0)))</f>
        <v/>
      </c>
      <c r="J25" s="1092" t="s">
        <v>57</v>
      </c>
      <c r="K25" s="487"/>
      <c r="L25" s="41" t="s">
        <v>119</v>
      </c>
      <c r="M25" s="359"/>
      <c r="N25" s="79"/>
      <c r="O25" s="79"/>
      <c r="P25" s="79"/>
      <c r="Q25" s="79"/>
      <c r="R25" s="79"/>
      <c r="S25" s="79"/>
      <c r="T25" s="79"/>
      <c r="U25" s="360"/>
      <c r="V25" s="79"/>
      <c r="W25" s="79"/>
      <c r="X25" s="79"/>
      <c r="Y25" s="79" t="s">
        <v>128</v>
      </c>
      <c r="Z25" s="79">
        <v>1705000</v>
      </c>
      <c r="AA25" s="79"/>
      <c r="AB25" s="79"/>
      <c r="AC25" s="79"/>
      <c r="AD25" s="79"/>
      <c r="AE25" s="79"/>
      <c r="AF25" s="79"/>
      <c r="AG25" s="79"/>
      <c r="AH25" s="79"/>
      <c r="AI25" s="79"/>
      <c r="AJ25" s="79"/>
      <c r="AK25" s="79"/>
      <c r="AL25" s="79"/>
    </row>
    <row r="26" spans="1:38" s="33" customFormat="1" ht="15" customHeight="1">
      <c r="A26"/>
      <c r="B26"/>
      <c r="C26" s="84"/>
      <c r="D26" s="443"/>
      <c r="E26" s="443"/>
      <c r="F26" s="443"/>
      <c r="G26" s="1108"/>
      <c r="H26" s="1062"/>
      <c r="I26" s="1109"/>
      <c r="J26" s="1092"/>
      <c r="K26" s="249"/>
      <c r="L26" s="85"/>
      <c r="M26" s="361" t="s">
        <v>129</v>
      </c>
      <c r="N26" s="79"/>
      <c r="O26" s="79"/>
      <c r="P26" s="79"/>
      <c r="Q26" s="79"/>
      <c r="R26" s="79"/>
      <c r="S26" s="79"/>
      <c r="T26" s="79"/>
      <c r="U26" s="360"/>
      <c r="V26" s="79"/>
      <c r="W26" s="79"/>
      <c r="X26" s="79"/>
      <c r="Y26" s="79"/>
      <c r="Z26" s="79"/>
      <c r="AA26" s="79"/>
      <c r="AB26" s="79"/>
      <c r="AC26" s="79"/>
      <c r="AD26" s="79"/>
      <c r="AE26" s="79"/>
      <c r="AF26" s="79"/>
      <c r="AG26" s="79"/>
      <c r="AH26" s="79"/>
      <c r="AI26" s="79"/>
      <c r="AJ26" s="79"/>
      <c r="AK26" s="79"/>
      <c r="AL26" s="79"/>
    </row>
    <row r="27" spans="1:38" ht="15" customHeight="1">
      <c r="U27" s="93"/>
    </row>
    <row r="28" spans="1:38" ht="15" customHeight="1">
      <c r="A28" s="1016" t="s">
        <v>405</v>
      </c>
      <c r="B28" s="1016"/>
      <c r="C28" s="1016"/>
      <c r="D28" s="1016"/>
      <c r="E28" s="1016"/>
      <c r="F28" s="1016"/>
      <c r="G28" s="1016"/>
      <c r="H28" s="1016"/>
      <c r="I28" s="1016"/>
      <c r="J28" s="1016"/>
      <c r="K28" s="1016"/>
      <c r="L28" s="1016"/>
      <c r="M28" s="1016"/>
      <c r="N28" s="1016"/>
      <c r="O28" s="1016"/>
      <c r="P28" s="1016"/>
      <c r="Q28" s="1016"/>
      <c r="R28" s="1016"/>
      <c r="S28" s="1016"/>
      <c r="T28" s="1016"/>
      <c r="U28" s="92"/>
      <c r="V28" s="1016"/>
      <c r="W28" s="1016"/>
    </row>
    <row r="29" spans="1:38" ht="15" customHeight="1">
      <c r="U29" s="93"/>
    </row>
    <row r="30" spans="1:38" s="33" customFormat="1" ht="15" customHeight="1">
      <c r="A30"/>
      <c r="B30"/>
      <c r="C30" s="84"/>
      <c r="D30" s="443"/>
      <c r="E30" s="443"/>
      <c r="F30" s="443"/>
      <c r="G30" s="443"/>
      <c r="H30" s="443"/>
      <c r="I30" s="443"/>
      <c r="J30" s="443"/>
      <c r="K30" s="1013" t="s">
        <v>104</v>
      </c>
      <c r="L30" s="969" t="s">
        <v>119</v>
      </c>
      <c r="M30" s="478"/>
      <c r="N30" s="479"/>
      <c r="O30" s="79"/>
      <c r="P30" s="79"/>
      <c r="Q30" s="79"/>
      <c r="R30" s="79"/>
      <c r="S30" s="79"/>
      <c r="T30" s="79"/>
      <c r="U30" s="360"/>
      <c r="V30" s="79"/>
      <c r="W30" s="79"/>
      <c r="X30" s="79"/>
      <c r="Y30" s="79" t="s">
        <v>128</v>
      </c>
      <c r="Z30" s="79">
        <v>1705000</v>
      </c>
      <c r="AA30" s="79"/>
      <c r="AB30" s="79"/>
      <c r="AC30" s="79"/>
      <c r="AD30" s="79"/>
      <c r="AE30" s="79"/>
      <c r="AF30" s="79"/>
      <c r="AG30" s="79"/>
      <c r="AH30" s="79"/>
      <c r="AI30" s="79"/>
      <c r="AJ30" s="79"/>
      <c r="AK30" s="79"/>
      <c r="AL30" s="79"/>
    </row>
    <row r="31" spans="1:38" ht="15" customHeight="1">
      <c r="U31" s="93"/>
    </row>
    <row r="32" spans="1:38" ht="15" customHeight="1">
      <c r="U32" s="93"/>
    </row>
    <row r="33" spans="1:45" s="1016" customFormat="1" ht="11.25" customHeight="1">
      <c r="A33" s="1016" t="s">
        <v>406</v>
      </c>
    </row>
    <row r="34" spans="1:45" ht="11.25" customHeight="1"/>
    <row r="35" spans="1:45" s="266" customFormat="1" ht="22.5" customHeight="1">
      <c r="A35" s="508"/>
      <c r="B35" s="8"/>
      <c r="C35" s="509"/>
      <c r="D35" s="260"/>
      <c r="E35" s="510"/>
      <c r="F35" s="937"/>
      <c r="G35" s="443"/>
      <c r="H35" s="282"/>
    </row>
    <row r="36" spans="1:45" ht="11.25" customHeight="1"/>
    <row r="37" spans="1:45" s="1016" customFormat="1" ht="11.25" customHeight="1">
      <c r="A37" s="1016" t="s">
        <v>407</v>
      </c>
    </row>
    <row r="38" spans="1:45" ht="11.25" customHeight="1"/>
    <row r="39" spans="1:45" s="266" customFormat="1" ht="22.5" customHeight="1">
      <c r="A39" s="8"/>
      <c r="B39" s="8"/>
      <c r="C39" s="8"/>
      <c r="D39" s="260"/>
      <c r="E39" s="510"/>
      <c r="F39" s="408"/>
      <c r="G39" s="443"/>
      <c r="H39" s="282"/>
    </row>
    <row r="42" spans="1:45" s="1016" customFormat="1" ht="17.25" customHeight="1">
      <c r="A42" s="1016" t="s">
        <v>408</v>
      </c>
    </row>
    <row r="44" spans="1:45" s="133" customFormat="1" ht="18.75" customHeight="1">
      <c r="A44"/>
      <c r="B44" s="2"/>
      <c r="C44" s="2"/>
      <c r="D44" s="515"/>
      <c r="E44" s="1014"/>
      <c r="F44" s="517">
        <v>13</v>
      </c>
      <c r="G44" s="516"/>
      <c r="H44" s="468"/>
      <c r="I44" s="466"/>
      <c r="J44" s="307" t="s">
        <v>59</v>
      </c>
      <c r="K44" s="1018" t="s">
        <v>18</v>
      </c>
      <c r="L44"/>
      <c r="M44" s="65"/>
      <c r="N44" s="65"/>
      <c r="O44" s="65"/>
      <c r="P44" s="304" t="s">
        <v>396</v>
      </c>
      <c r="Q44" s="304" t="s">
        <v>397</v>
      </c>
      <c r="R44" s="305" t="s">
        <v>398</v>
      </c>
      <c r="S44" s="65" t="s">
        <v>399</v>
      </c>
      <c r="T44" s="65"/>
      <c r="U44" s="65"/>
      <c r="V44" s="65"/>
    </row>
    <row r="46" spans="1:45" s="1016" customFormat="1" ht="11.25" customHeight="1">
      <c r="A46" s="1016" t="s">
        <v>409</v>
      </c>
    </row>
    <row r="48" spans="1:45" s="9" customFormat="1" ht="15" customHeight="1">
      <c r="C48" s="21"/>
      <c r="D48" s="255"/>
      <c r="E48" s="524"/>
      <c r="F48" s="505"/>
      <c r="G48" s="506"/>
      <c r="H48" s="227"/>
      <c r="I48" s="227"/>
      <c r="J48" s="254"/>
      <c r="K48" s="253"/>
      <c r="L48" s="252"/>
      <c r="M48" s="253"/>
      <c r="N48" s="254"/>
      <c r="O48" s="253"/>
      <c r="P48" s="254"/>
      <c r="Q48" s="253"/>
      <c r="R48" s="254"/>
      <c r="S48" s="504"/>
      <c r="T48" s="227"/>
      <c r="U48" s="254"/>
      <c r="V48" s="254"/>
      <c r="W48" s="486"/>
      <c r="X48" s="227"/>
      <c r="Y48" s="254"/>
      <c r="Z48" s="254"/>
      <c r="AA48" s="486"/>
      <c r="AB48" s="227"/>
      <c r="AC48" s="254"/>
      <c r="AD48" s="486"/>
      <c r="AE48"/>
      <c r="AF48"/>
      <c r="AG48"/>
      <c r="AH48"/>
      <c r="AJ48" s="65"/>
      <c r="AK48" s="65"/>
      <c r="AL48" s="65"/>
      <c r="AM48" s="65"/>
      <c r="AN48" s="65"/>
      <c r="AO48" s="65"/>
      <c r="AP48" s="66" t="s">
        <v>385</v>
      </c>
      <c r="AQ48" s="66" t="s">
        <v>385</v>
      </c>
      <c r="AR48" s="65"/>
      <c r="AS48" s="65"/>
    </row>
    <row r="50" spans="1:30" s="1016" customFormat="1" ht="11.25" customHeight="1">
      <c r="A50" s="1016" t="s">
        <v>410</v>
      </c>
    </row>
    <row r="52" spans="1:30" s="2" customFormat="1" ht="15" customHeight="1">
      <c r="A52" s="59" t="s">
        <v>90</v>
      </c>
      <c r="B52" s="2" t="s">
        <v>18</v>
      </c>
      <c r="C52" s="48"/>
      <c r="D52" s="41"/>
      <c r="E52" s="226"/>
      <c r="F52" s="226"/>
      <c r="G52" s="974"/>
      <c r="H52" s="1018"/>
      <c r="I52" s="375"/>
      <c r="K52" s="157"/>
      <c r="L52" s="101"/>
    </row>
    <row r="54" spans="1:30" s="1016" customFormat="1" ht="11.25" customHeight="1">
      <c r="A54" s="1016" t="s">
        <v>411</v>
      </c>
    </row>
    <row r="56" spans="1:30" s="9" customFormat="1" ht="14.25" customHeight="1">
      <c r="A56" s="2"/>
      <c r="B56" s="60"/>
      <c r="C56" s="27"/>
      <c r="D56" s="61"/>
      <c r="E56" s="525"/>
      <c r="F56" s="1018"/>
      <c r="G56"/>
      <c r="I56" s="66"/>
      <c r="J56" s="66"/>
    </row>
    <row r="58" spans="1:30" s="1016" customFormat="1" ht="11.25" customHeight="1">
      <c r="A58" s="1016" t="s">
        <v>412</v>
      </c>
    </row>
    <row r="60" spans="1:30" s="9" customFormat="1" ht="27" customHeight="1">
      <c r="A60" s="314"/>
      <c r="B60" s="314"/>
      <c r="C60" s="314"/>
      <c r="D60" s="60"/>
      <c r="E60" s="1019"/>
      <c r="F60" s="1202"/>
      <c r="G60" s="1203"/>
      <c r="H60" s="1204" t="s">
        <v>59</v>
      </c>
      <c r="I60" s="1206"/>
      <c r="J60" s="1208"/>
      <c r="K60" s="1210"/>
      <c r="L60" s="1213"/>
      <c r="M60" s="1213"/>
      <c r="N60" s="1249"/>
      <c r="O60" s="1249"/>
      <c r="P60" s="1250" t="e">
        <f>DATEDIF(DATEVALUE(N60),DATEVALUE(O60),"y")&amp;"г. "&amp;DATEDIF(DATEVALUE(N60),DATEVALUE(O60),"ym")&amp;"мес. "&amp;DATEVALUE(O60)-DATE(YEAR(DATEVALUE(O60)),MONTH(DATEVALUE(O60)),1)&amp;"дн. "</f>
        <v>#VALUE!</v>
      </c>
      <c r="Q60" s="1215"/>
      <c r="R60" s="1215"/>
      <c r="S60" s="1215"/>
      <c r="T60" s="1208"/>
      <c r="U60" s="1215"/>
      <c r="V60" s="1215"/>
      <c r="W60" s="1215"/>
      <c r="X60" s="1208"/>
      <c r="Y60" s="1247" t="s">
        <v>59</v>
      </c>
      <c r="Z60" s="893"/>
      <c r="AA60" s="39">
        <v>1</v>
      </c>
      <c r="AB60" s="735"/>
      <c r="AD60" s="65" t="s">
        <v>413</v>
      </c>
    </row>
    <row r="61" spans="1:30" s="9" customFormat="1" ht="10.5" customHeight="1">
      <c r="A61" s="314"/>
      <c r="B61" s="314"/>
      <c r="C61" s="314"/>
      <c r="D61" s="60"/>
      <c r="E61" s="560"/>
      <c r="F61" s="1202"/>
      <c r="G61" s="1203"/>
      <c r="H61" s="1205"/>
      <c r="I61" s="1207"/>
      <c r="J61" s="1209"/>
      <c r="K61" s="1210"/>
      <c r="L61" s="1213"/>
      <c r="M61" s="1213"/>
      <c r="N61" s="1249"/>
      <c r="O61" s="1249"/>
      <c r="P61" s="1250"/>
      <c r="Q61" s="1215"/>
      <c r="R61" s="1215"/>
      <c r="S61" s="1215"/>
      <c r="T61" s="1209"/>
      <c r="U61" s="1215"/>
      <c r="V61" s="1215"/>
      <c r="W61" s="1215"/>
      <c r="X61" s="1209"/>
      <c r="Y61" s="1248"/>
      <c r="Z61" s="38"/>
      <c r="AA61" s="343"/>
      <c r="AB61" s="361" t="s">
        <v>414</v>
      </c>
    </row>
    <row r="63" spans="1:30" s="1016" customFormat="1" ht="11.25" customHeight="1">
      <c r="A63" s="1016" t="s">
        <v>415</v>
      </c>
    </row>
    <row r="65" spans="1:58" s="9" customFormat="1" ht="27" customHeight="1">
      <c r="A65" s="314"/>
      <c r="B65" s="314"/>
      <c r="C65" s="314"/>
      <c r="D65" s="60"/>
      <c r="E65" s="1019"/>
      <c r="F65" s="1012"/>
      <c r="G65" s="986"/>
      <c r="H65" s="987"/>
      <c r="I65" s="988"/>
      <c r="J65" s="989"/>
      <c r="K65" s="990"/>
      <c r="L65" s="991"/>
      <c r="M65" s="991"/>
      <c r="N65" s="992"/>
      <c r="O65" s="992"/>
      <c r="P65" s="993"/>
      <c r="Q65" s="994"/>
      <c r="R65" s="994"/>
      <c r="S65" s="994"/>
      <c r="T65" s="989"/>
      <c r="U65" s="994"/>
      <c r="V65" s="994"/>
      <c r="W65" s="994"/>
      <c r="X65" s="989"/>
      <c r="Y65" s="987"/>
      <c r="Z65" s="893"/>
      <c r="AA65" s="39">
        <v>1</v>
      </c>
      <c r="AB65" s="735"/>
      <c r="AD65" s="65" t="s">
        <v>413</v>
      </c>
    </row>
    <row r="67" spans="1:58" s="1016" customFormat="1" ht="11.25" customHeight="1">
      <c r="A67" s="1016" t="s">
        <v>416</v>
      </c>
    </row>
    <row r="68" spans="1:58" ht="17.25" customHeight="1"/>
    <row r="69" spans="1:58" s="9" customFormat="1" ht="21" customHeight="1">
      <c r="A69" s="323"/>
      <c r="B69" s="314"/>
      <c r="C69" s="314"/>
      <c r="D69" s="60"/>
      <c r="E69" s="8"/>
      <c r="F69" s="679" t="e">
        <f>INDEX(IP_MAIN_LIST_NAME_IP,MATCH(A69,IP_MAIN_LIST_IP_ID,0))&amp;" ("&amp;INDEX(IP_MAIN_START_DATE,MATCH(A69,IP_MAIN_LIST_IP_ID,0))&amp;"-"&amp;INDEX(IP_MAIN_END_DATE,MATCH(A69,IP_MAIN_LIST_IP_ID,0))&amp;")"</f>
        <v>#N/A</v>
      </c>
      <c r="G69" s="680"/>
      <c r="H69" s="680"/>
      <c r="I69" s="698"/>
      <c r="J69" s="698"/>
      <c r="K69" s="699"/>
      <c r="L69" s="699"/>
      <c r="M69" s="699"/>
      <c r="N69" s="700"/>
      <c r="O69" s="700"/>
      <c r="P69" s="700"/>
      <c r="Q69" s="700"/>
      <c r="R69" s="700"/>
      <c r="S69" s="700"/>
      <c r="T69" s="700"/>
      <c r="U69" s="700"/>
      <c r="V69" s="700"/>
      <c r="W69" s="700"/>
      <c r="X69" s="700"/>
      <c r="Y69" s="700"/>
      <c r="Z69" s="700"/>
      <c r="AA69" s="700"/>
      <c r="AB69" s="700"/>
      <c r="AC69" s="700"/>
      <c r="AD69" s="700"/>
      <c r="AE69" s="701"/>
      <c r="AF69" s="699"/>
      <c r="AG69" s="699"/>
      <c r="AH69" s="699"/>
      <c r="AI69" s="699"/>
      <c r="AJ69" s="699"/>
      <c r="AK69" s="699"/>
      <c r="AL69" s="542"/>
      <c r="AM69" s="2"/>
      <c r="AN69" s="2"/>
      <c r="AO69" s="2"/>
      <c r="AP69" s="2"/>
      <c r="AQ69" s="2"/>
      <c r="AR69" s="2"/>
      <c r="AS69" s="2"/>
      <c r="AT69" s="2"/>
      <c r="AU69" s="2"/>
      <c r="AV69" s="2"/>
      <c r="AW69" s="2"/>
      <c r="AX69" s="2"/>
      <c r="AY69" s="2"/>
      <c r="AZ69" s="2"/>
      <c r="BA69" s="2"/>
      <c r="BB69" s="2"/>
      <c r="BC69" s="2"/>
      <c r="BD69" s="2"/>
      <c r="BE69" s="2"/>
      <c r="BF69" s="2"/>
    </row>
    <row r="70" spans="1:58" s="9" customFormat="1" ht="11.25" customHeight="1">
      <c r="A70" s="314"/>
      <c r="B70" s="314"/>
      <c r="C70" s="314"/>
      <c r="D70" s="60"/>
      <c r="E70" s="8"/>
      <c r="F70" s="1253"/>
      <c r="G70" s="1214"/>
      <c r="H70" s="1214" t="s">
        <v>119</v>
      </c>
      <c r="I70" s="1257"/>
      <c r="J70" s="1258"/>
      <c r="K70" s="1259"/>
      <c r="L70" s="1251" t="s">
        <v>57</v>
      </c>
      <c r="M70" s="1093"/>
      <c r="N70" s="691"/>
      <c r="O70" s="690" t="s">
        <v>380</v>
      </c>
      <c r="P70" s="691"/>
      <c r="Q70" s="691"/>
      <c r="R70" s="691"/>
      <c r="S70" s="691"/>
      <c r="T70" s="691"/>
      <c r="U70" s="691"/>
      <c r="V70" s="691"/>
      <c r="W70" s="691"/>
      <c r="X70" s="691"/>
      <c r="Y70" s="691"/>
      <c r="Z70" s="691"/>
      <c r="AA70" s="691"/>
      <c r="AB70" s="691"/>
      <c r="AC70" s="691"/>
      <c r="AD70" s="691"/>
      <c r="AE70" s="691"/>
      <c r="AF70" s="1255"/>
      <c r="AG70" s="1251"/>
      <c r="AH70" s="1251"/>
      <c r="AI70" s="1255"/>
      <c r="AJ70" s="1251"/>
      <c r="AK70" s="1251"/>
      <c r="AM70" s="2"/>
      <c r="AN70" s="2"/>
      <c r="AO70" s="2"/>
      <c r="AP70" s="2"/>
      <c r="AQ70" s="2"/>
      <c r="AR70" s="2"/>
      <c r="AS70" s="2"/>
      <c r="AT70" s="2"/>
      <c r="AU70" s="2"/>
      <c r="AV70" s="2"/>
      <c r="AW70" s="2"/>
      <c r="AX70" s="2"/>
      <c r="AY70" s="2"/>
      <c r="AZ70" s="2"/>
      <c r="BA70" s="2"/>
      <c r="BB70" s="2"/>
      <c r="BC70" s="2"/>
      <c r="BD70" s="2"/>
      <c r="BE70" s="2"/>
      <c r="BF70" s="2"/>
    </row>
    <row r="71" spans="1:58" s="9" customFormat="1" ht="11.25" customHeight="1">
      <c r="A71" s="314"/>
      <c r="B71" s="314"/>
      <c r="C71" s="314"/>
      <c r="D71" s="60"/>
      <c r="E71" s="8"/>
      <c r="F71" s="1253"/>
      <c r="G71" s="1214"/>
      <c r="H71" s="1214"/>
      <c r="I71" s="1257"/>
      <c r="J71" s="1258"/>
      <c r="K71" s="1259"/>
      <c r="L71" s="1251"/>
      <c r="M71" s="1093"/>
      <c r="N71" s="1260"/>
      <c r="O71" s="1231">
        <v>1</v>
      </c>
      <c r="P71" s="1226" t="s">
        <v>57</v>
      </c>
      <c r="Q71" s="1229" t="s">
        <v>18</v>
      </c>
      <c r="R71" s="1229" t="s">
        <v>18</v>
      </c>
      <c r="S71" s="1229" t="s">
        <v>18</v>
      </c>
      <c r="T71" s="1229" t="s">
        <v>18</v>
      </c>
      <c r="U71" s="1229" t="s">
        <v>18</v>
      </c>
      <c r="V71" s="1229" t="s">
        <v>18</v>
      </c>
      <c r="W71" s="1229" t="s">
        <v>18</v>
      </c>
      <c r="X71" s="1229" t="s">
        <v>18</v>
      </c>
      <c r="Y71" s="1229"/>
      <c r="Z71" s="688"/>
      <c r="AA71" s="689"/>
      <c r="AB71" s="689"/>
      <c r="AC71" s="693"/>
      <c r="AD71" s="693"/>
      <c r="AE71" s="694"/>
      <c r="AF71" s="1255"/>
      <c r="AG71" s="1251"/>
      <c r="AH71" s="1251"/>
      <c r="AI71" s="1255"/>
      <c r="AJ71" s="1251"/>
      <c r="AK71" s="1251"/>
      <c r="AM71" s="2"/>
      <c r="AN71" s="2"/>
      <c r="AO71" s="2"/>
      <c r="AP71" s="2"/>
      <c r="AQ71" s="2"/>
      <c r="AR71" s="2"/>
      <c r="AS71" s="2"/>
      <c r="AT71" s="2"/>
      <c r="AU71" s="2"/>
      <c r="AV71" s="2"/>
      <c r="AW71" s="2"/>
      <c r="AX71" s="2"/>
      <c r="AY71" s="2"/>
      <c r="AZ71" s="2"/>
      <c r="BA71" s="2"/>
      <c r="BB71" s="2"/>
      <c r="BC71" s="2"/>
      <c r="BD71" s="2"/>
      <c r="BE71" s="2"/>
      <c r="BF71" s="2"/>
    </row>
    <row r="72" spans="1:58" s="9" customFormat="1" ht="11.25" customHeight="1">
      <c r="A72" s="314"/>
      <c r="B72" s="314"/>
      <c r="C72" s="314"/>
      <c r="D72" s="60"/>
      <c r="E72" s="8"/>
      <c r="F72" s="1253"/>
      <c r="G72" s="1214"/>
      <c r="H72" s="1214"/>
      <c r="I72" s="1257"/>
      <c r="J72" s="1258"/>
      <c r="K72" s="1259"/>
      <c r="L72" s="1251"/>
      <c r="M72" s="1093"/>
      <c r="N72" s="1260"/>
      <c r="O72" s="1231"/>
      <c r="P72" s="1227"/>
      <c r="Q72" s="1229"/>
      <c r="R72" s="1229"/>
      <c r="S72" s="1256"/>
      <c r="T72" s="1229"/>
      <c r="U72" s="1229"/>
      <c r="V72" s="1229"/>
      <c r="W72" s="1229"/>
      <c r="X72" s="1229"/>
      <c r="Y72" s="1229"/>
      <c r="Z72" s="1020"/>
      <c r="AA72" s="1011">
        <v>1</v>
      </c>
      <c r="AB72" s="692"/>
      <c r="AC72" s="388"/>
      <c r="AD72" s="692">
        <f>AB72</f>
        <v>0</v>
      </c>
      <c r="AE72" s="388"/>
      <c r="AF72" s="1255"/>
      <c r="AG72" s="1251"/>
      <c r="AH72" s="1251"/>
      <c r="AI72" s="1255"/>
      <c r="AJ72" s="1251"/>
      <c r="AK72" s="1251"/>
      <c r="AM72" s="2"/>
      <c r="AN72" s="2"/>
      <c r="AO72" s="2"/>
      <c r="AP72" s="2"/>
      <c r="AQ72" s="2"/>
      <c r="AR72" s="2"/>
      <c r="AS72" s="2"/>
      <c r="AT72" s="2"/>
      <c r="AU72" s="2"/>
      <c r="AV72" s="2"/>
      <c r="AW72" s="2"/>
      <c r="AX72" s="2"/>
      <c r="AY72" s="2"/>
      <c r="AZ72" s="2"/>
      <c r="BA72" s="2"/>
      <c r="BB72" s="2"/>
      <c r="BC72" s="2"/>
      <c r="BD72" s="2"/>
      <c r="BE72" s="2"/>
      <c r="BF72" s="2"/>
    </row>
    <row r="73" spans="1:58" s="9" customFormat="1" ht="11.25" customHeight="1">
      <c r="A73" s="314"/>
      <c r="B73" s="314"/>
      <c r="C73" s="314"/>
      <c r="D73" s="60"/>
      <c r="E73" s="8"/>
      <c r="F73" s="1253"/>
      <c r="G73" s="1214"/>
      <c r="H73" s="1214"/>
      <c r="I73" s="1257"/>
      <c r="J73" s="1258"/>
      <c r="K73" s="1259"/>
      <c r="L73" s="1251"/>
      <c r="M73" s="1093"/>
      <c r="N73" s="1260"/>
      <c r="O73" s="1231"/>
      <c r="P73" s="1228"/>
      <c r="Q73" s="1229"/>
      <c r="R73" s="1229"/>
      <c r="S73" s="1256"/>
      <c r="T73" s="1229"/>
      <c r="U73" s="1229"/>
      <c r="V73" s="1229"/>
      <c r="W73" s="1229"/>
      <c r="X73" s="1229"/>
      <c r="Y73" s="1229"/>
      <c r="Z73" s="688"/>
      <c r="AA73" s="689"/>
      <c r="AB73" s="107" t="s">
        <v>417</v>
      </c>
      <c r="AC73" s="693"/>
      <c r="AD73" s="693"/>
      <c r="AE73" s="695"/>
      <c r="AF73" s="1255"/>
      <c r="AG73" s="1251"/>
      <c r="AH73" s="1251"/>
      <c r="AI73" s="1255"/>
      <c r="AJ73" s="1251"/>
      <c r="AK73" s="1251"/>
      <c r="AM73" s="2"/>
      <c r="AN73" s="2"/>
      <c r="AO73" s="2"/>
      <c r="AP73" s="2"/>
      <c r="AQ73" s="2"/>
      <c r="AR73" s="2"/>
      <c r="AS73" s="2"/>
      <c r="AT73" s="2"/>
      <c r="AU73" s="2"/>
      <c r="AV73" s="2"/>
      <c r="AW73" s="2"/>
      <c r="AX73" s="2"/>
      <c r="AY73" s="2"/>
      <c r="AZ73" s="2"/>
      <c r="BA73" s="2"/>
      <c r="BB73" s="2"/>
      <c r="BC73" s="2"/>
      <c r="BD73" s="2"/>
      <c r="BE73" s="2"/>
      <c r="BF73" s="2"/>
    </row>
    <row r="74" spans="1:58" s="9" customFormat="1" ht="11.25" customHeight="1">
      <c r="A74" s="314"/>
      <c r="B74" s="314"/>
      <c r="C74" s="314"/>
      <c r="D74" s="60"/>
      <c r="E74" s="8"/>
      <c r="F74" s="1253"/>
      <c r="G74" s="1214"/>
      <c r="H74" s="1214"/>
      <c r="I74" s="1257"/>
      <c r="J74" s="1258"/>
      <c r="K74" s="1259"/>
      <c r="L74" s="1251"/>
      <c r="M74" s="1093"/>
      <c r="N74" s="689"/>
      <c r="O74" s="689"/>
      <c r="P74" s="107" t="s">
        <v>418</v>
      </c>
      <c r="Q74" s="689"/>
      <c r="R74" s="689"/>
      <c r="S74" s="689"/>
      <c r="T74" s="689"/>
      <c r="U74" s="689"/>
      <c r="V74" s="689"/>
      <c r="W74" s="689"/>
      <c r="X74" s="689"/>
      <c r="Y74" s="689"/>
      <c r="Z74" s="689"/>
      <c r="AA74" s="689"/>
      <c r="AB74" s="689"/>
      <c r="AC74" s="689"/>
      <c r="AD74" s="689"/>
      <c r="AE74" s="696"/>
      <c r="AF74" s="1255"/>
      <c r="AG74" s="1251"/>
      <c r="AH74" s="1251"/>
      <c r="AI74" s="1255"/>
      <c r="AJ74" s="1251"/>
      <c r="AK74" s="1251"/>
      <c r="AM74" s="2"/>
      <c r="AN74" s="2"/>
      <c r="AO74" s="2"/>
      <c r="AP74" s="2"/>
      <c r="AQ74" s="2"/>
      <c r="AR74" s="2"/>
      <c r="AS74" s="2"/>
      <c r="AT74" s="2"/>
      <c r="AU74" s="2"/>
      <c r="AV74" s="2"/>
      <c r="AW74" s="2"/>
      <c r="AX74" s="2"/>
      <c r="AY74" s="2"/>
      <c r="AZ74" s="2"/>
      <c r="BA74" s="2"/>
      <c r="BB74" s="2"/>
      <c r="BC74" s="2"/>
      <c r="BD74" s="2"/>
      <c r="BE74" s="2"/>
      <c r="BF74" s="2"/>
    </row>
    <row r="75" spans="1:58" s="9" customFormat="1" ht="12" customHeight="1">
      <c r="A75" s="314"/>
      <c r="B75" s="314"/>
      <c r="C75" s="314"/>
      <c r="D75" s="60"/>
      <c r="E75" s="8"/>
      <c r="F75" s="1254"/>
      <c r="G75" s="702"/>
      <c r="H75" s="702"/>
      <c r="I75" s="1252" t="s">
        <v>419</v>
      </c>
      <c r="J75" s="1252"/>
      <c r="K75" s="1252"/>
      <c r="L75" s="686"/>
      <c r="M75" s="686"/>
      <c r="N75" s="687"/>
      <c r="O75" s="687"/>
      <c r="P75" s="687"/>
      <c r="Q75" s="687"/>
      <c r="R75" s="687"/>
      <c r="S75" s="687"/>
      <c r="T75" s="687"/>
      <c r="U75" s="687"/>
      <c r="V75" s="687"/>
      <c r="W75" s="687"/>
      <c r="X75" s="687"/>
      <c r="Y75" s="687"/>
      <c r="Z75" s="687"/>
      <c r="AA75" s="687"/>
      <c r="AB75" s="687"/>
      <c r="AC75" s="687"/>
      <c r="AD75" s="687"/>
      <c r="AE75" s="687"/>
      <c r="AF75" s="687"/>
      <c r="AG75" s="686"/>
      <c r="AH75" s="686"/>
      <c r="AI75" s="687"/>
      <c r="AJ75" s="686"/>
      <c r="AK75" s="697"/>
      <c r="AM75" s="2"/>
      <c r="AN75" s="2"/>
      <c r="AO75" s="2"/>
      <c r="AP75" s="2"/>
      <c r="AQ75" s="2"/>
      <c r="AR75" s="2"/>
      <c r="AS75" s="2"/>
      <c r="AT75" s="2"/>
      <c r="AU75" s="2"/>
      <c r="AV75" s="2"/>
      <c r="AW75" s="2"/>
      <c r="AX75" s="2"/>
      <c r="AY75" s="2"/>
      <c r="AZ75" s="2"/>
      <c r="BA75" s="2"/>
      <c r="BB75" s="2"/>
      <c r="BC75" s="2"/>
      <c r="BD75" s="2"/>
      <c r="BE75" s="2"/>
      <c r="BF75" s="2"/>
    </row>
    <row r="77" spans="1:58" s="1016" customFormat="1" ht="11.25" customHeight="1">
      <c r="A77" s="1016" t="s">
        <v>420</v>
      </c>
    </row>
    <row r="79" spans="1:58" s="9" customFormat="1" ht="11.25" customHeight="1">
      <c r="A79" s="314"/>
      <c r="B79" s="314"/>
      <c r="C79" s="314"/>
      <c r="D79" s="60"/>
      <c r="E79" s="8"/>
      <c r="F79" s="1021"/>
      <c r="G79" s="1022"/>
      <c r="H79" s="1022"/>
      <c r="I79" s="905"/>
      <c r="J79" s="905"/>
      <c r="K79" s="1023"/>
      <c r="L79" s="905"/>
      <c r="M79" s="1022"/>
      <c r="N79" s="1230"/>
      <c r="O79" s="1231">
        <v>1</v>
      </c>
      <c r="P79" s="1226" t="s">
        <v>57</v>
      </c>
      <c r="Q79" s="1229" t="s">
        <v>18</v>
      </c>
      <c r="R79" s="1229" t="s">
        <v>18</v>
      </c>
      <c r="S79" s="1229" t="s">
        <v>18</v>
      </c>
      <c r="T79" s="1229" t="s">
        <v>18</v>
      </c>
      <c r="U79" s="1229" t="s">
        <v>18</v>
      </c>
      <c r="V79" s="1229" t="s">
        <v>18</v>
      </c>
      <c r="W79" s="1229" t="s">
        <v>18</v>
      </c>
      <c r="X79" s="1229" t="s">
        <v>18</v>
      </c>
      <c r="Y79" s="1229"/>
      <c r="Z79" s="688"/>
      <c r="AA79" s="689"/>
      <c r="AB79" s="689"/>
      <c r="AC79" s="693"/>
      <c r="AD79" s="693"/>
      <c r="AE79" s="693"/>
      <c r="AF79" s="1024"/>
      <c r="AG79" s="997"/>
      <c r="AH79" s="997"/>
      <c r="AI79" s="1024"/>
      <c r="AJ79" s="997"/>
      <c r="AK79" s="997"/>
      <c r="AM79" s="2"/>
      <c r="AN79" s="2"/>
      <c r="AO79" s="2"/>
      <c r="AP79" s="2"/>
      <c r="AQ79" s="2"/>
      <c r="AR79" s="2"/>
      <c r="AS79" s="2"/>
      <c r="AT79" s="2"/>
      <c r="AU79" s="2"/>
      <c r="AV79" s="2"/>
      <c r="AW79" s="2"/>
      <c r="AX79" s="2"/>
      <c r="AY79" s="2"/>
      <c r="AZ79" s="2"/>
      <c r="BA79" s="2"/>
      <c r="BB79" s="2"/>
      <c r="BC79" s="2"/>
      <c r="BD79" s="2"/>
      <c r="BE79" s="2"/>
      <c r="BF79" s="2"/>
    </row>
    <row r="80" spans="1:58" s="9" customFormat="1" ht="11.25" customHeight="1">
      <c r="A80" s="314"/>
      <c r="B80" s="314"/>
      <c r="C80" s="314"/>
      <c r="D80" s="60"/>
      <c r="E80" s="8"/>
      <c r="F80" s="1021"/>
      <c r="G80" s="1022"/>
      <c r="H80" s="1022"/>
      <c r="I80" s="1001"/>
      <c r="J80" s="1001"/>
      <c r="K80" s="1023"/>
      <c r="L80" s="1001"/>
      <c r="M80" s="1022"/>
      <c r="N80" s="1230"/>
      <c r="O80" s="1231"/>
      <c r="P80" s="1227"/>
      <c r="Q80" s="1229"/>
      <c r="R80" s="1229"/>
      <c r="S80" s="1256"/>
      <c r="T80" s="1229"/>
      <c r="U80" s="1229"/>
      <c r="V80" s="1229"/>
      <c r="W80" s="1229"/>
      <c r="X80" s="1229"/>
      <c r="Y80" s="1229"/>
      <c r="Z80" s="1020"/>
      <c r="AA80" s="1011">
        <v>1</v>
      </c>
      <c r="AB80" s="692"/>
      <c r="AC80" s="388"/>
      <c r="AD80" s="692">
        <f>AB80</f>
        <v>0</v>
      </c>
      <c r="AE80" s="428"/>
      <c r="AF80" s="1023"/>
      <c r="AG80" s="997"/>
      <c r="AH80" s="997"/>
      <c r="AI80" s="1023"/>
      <c r="AJ80" s="997"/>
      <c r="AK80" s="997"/>
      <c r="AM80" s="2"/>
      <c r="AN80" s="2"/>
      <c r="AO80" s="2"/>
      <c r="AP80" s="2"/>
      <c r="AQ80" s="2"/>
      <c r="AR80" s="2"/>
      <c r="AS80" s="2"/>
      <c r="AT80" s="2"/>
      <c r="AU80" s="2"/>
      <c r="AV80" s="2"/>
      <c r="AW80" s="2"/>
      <c r="AX80" s="2"/>
      <c r="AY80" s="2"/>
      <c r="AZ80" s="2"/>
      <c r="BA80" s="2"/>
      <c r="BB80" s="2"/>
      <c r="BC80" s="2"/>
      <c r="BD80" s="2"/>
      <c r="BE80" s="2"/>
      <c r="BF80" s="2"/>
    </row>
    <row r="81" spans="1:58" s="9" customFormat="1" ht="11.25" customHeight="1">
      <c r="A81" s="314"/>
      <c r="B81" s="314"/>
      <c r="C81" s="314"/>
      <c r="D81" s="60"/>
      <c r="E81" s="8"/>
      <c r="F81" s="1021"/>
      <c r="G81" s="1022"/>
      <c r="H81" s="1022"/>
      <c r="I81" s="1002"/>
      <c r="J81" s="1002"/>
      <c r="K81" s="1023"/>
      <c r="L81" s="1002"/>
      <c r="M81" s="1022"/>
      <c r="N81" s="1230"/>
      <c r="O81" s="1231"/>
      <c r="P81" s="1228"/>
      <c r="Q81" s="1229"/>
      <c r="R81" s="1229"/>
      <c r="S81" s="1256"/>
      <c r="T81" s="1229"/>
      <c r="U81" s="1229"/>
      <c r="V81" s="1229"/>
      <c r="W81" s="1229"/>
      <c r="X81" s="1229"/>
      <c r="Y81" s="1229"/>
      <c r="Z81" s="688"/>
      <c r="AA81" s="689"/>
      <c r="AB81" s="107" t="s">
        <v>417</v>
      </c>
      <c r="AC81" s="693"/>
      <c r="AD81" s="693"/>
      <c r="AE81" s="693"/>
      <c r="AF81" s="1025"/>
      <c r="AG81" s="997"/>
      <c r="AH81" s="997"/>
      <c r="AI81" s="1025"/>
      <c r="AJ81" s="997"/>
      <c r="AK81" s="997"/>
      <c r="AM81" s="2"/>
      <c r="AN81" s="2"/>
      <c r="AO81" s="2"/>
      <c r="AP81" s="2"/>
      <c r="AQ81" s="2"/>
      <c r="AR81" s="2"/>
      <c r="AS81" s="2"/>
      <c r="AT81" s="2"/>
      <c r="AU81" s="2"/>
      <c r="AV81" s="2"/>
      <c r="AW81" s="2"/>
      <c r="AX81" s="2"/>
      <c r="AY81" s="2"/>
      <c r="AZ81" s="2"/>
      <c r="BA81" s="2"/>
      <c r="BB81" s="2"/>
      <c r="BC81" s="2"/>
      <c r="BD81" s="2"/>
      <c r="BE81" s="2"/>
      <c r="BF81" s="2"/>
    </row>
    <row r="83" spans="1:58" s="1016" customFormat="1" ht="11.25" customHeight="1">
      <c r="A83" s="1016" t="s">
        <v>421</v>
      </c>
    </row>
    <row r="85" spans="1:58" s="9" customFormat="1" ht="11.25" customHeight="1">
      <c r="A85" s="314"/>
      <c r="B85" s="314"/>
      <c r="C85" s="314"/>
      <c r="D85" s="60"/>
      <c r="E85" s="8"/>
      <c r="F85" s="1022"/>
      <c r="G85" s="1022"/>
      <c r="H85" s="1022"/>
      <c r="I85" s="1022"/>
      <c r="J85" s="1022"/>
      <c r="K85" s="1022"/>
      <c r="L85" s="1022"/>
      <c r="M85" s="1022"/>
      <c r="N85" s="1022"/>
      <c r="O85" s="1022"/>
      <c r="P85" s="1022"/>
      <c r="Q85" s="1022"/>
      <c r="R85" s="1022"/>
      <c r="S85" s="1022"/>
      <c r="T85" s="1022"/>
      <c r="U85" s="1022"/>
      <c r="V85" s="1022"/>
      <c r="W85" s="1022"/>
      <c r="X85" s="1022"/>
      <c r="Y85" s="1022"/>
      <c r="Z85" s="1026"/>
      <c r="AA85" s="1015">
        <v>1</v>
      </c>
      <c r="AB85" s="692"/>
      <c r="AC85" s="388"/>
      <c r="AD85" s="692">
        <f>AB85</f>
        <v>0</v>
      </c>
      <c r="AE85" s="388"/>
      <c r="AF85" s="1023"/>
      <c r="AG85" s="997"/>
      <c r="AH85" s="997"/>
      <c r="AI85" s="1023"/>
      <c r="AJ85" s="997"/>
      <c r="AK85" s="997"/>
      <c r="AM85" s="2"/>
      <c r="AN85" s="2"/>
      <c r="AO85" s="2"/>
      <c r="AP85" s="2"/>
      <c r="AQ85" s="2"/>
      <c r="AR85" s="2"/>
      <c r="AS85" s="2"/>
      <c r="AT85" s="2"/>
      <c r="AU85" s="2"/>
      <c r="AV85" s="2"/>
      <c r="AW85" s="2"/>
      <c r="AX85" s="2"/>
      <c r="AY85" s="2"/>
      <c r="AZ85" s="2"/>
      <c r="BA85" s="2"/>
      <c r="BB85" s="2"/>
      <c r="BC85" s="2"/>
      <c r="BD85" s="2"/>
      <c r="BE85" s="2"/>
      <c r="BF85" s="2"/>
    </row>
    <row r="87" spans="1:58" s="1016" customFormat="1" ht="11.25" customHeight="1">
      <c r="A87" s="1016" t="s">
        <v>422</v>
      </c>
    </row>
    <row r="89" spans="1:58" s="9" customFormat="1" ht="11.25" customHeight="1">
      <c r="A89" s="314"/>
      <c r="B89" s="314"/>
      <c r="C89" s="314"/>
      <c r="D89" s="60"/>
      <c r="E89" s="8"/>
      <c r="F89" s="1021"/>
      <c r="G89" s="1022"/>
      <c r="H89" s="1214" t="s">
        <v>119</v>
      </c>
      <c r="I89" s="1257"/>
      <c r="J89" s="1258"/>
      <c r="K89" s="1259"/>
      <c r="L89" s="1251" t="s">
        <v>57</v>
      </c>
      <c r="M89" s="1093"/>
      <c r="N89" s="691"/>
      <c r="O89" s="690" t="s">
        <v>380</v>
      </c>
      <c r="P89" s="691"/>
      <c r="Q89" s="691"/>
      <c r="R89" s="691"/>
      <c r="S89" s="691"/>
      <c r="T89" s="691"/>
      <c r="U89" s="691"/>
      <c r="V89" s="691"/>
      <c r="W89" s="691"/>
      <c r="X89" s="691"/>
      <c r="Y89" s="691"/>
      <c r="Z89" s="691"/>
      <c r="AA89" s="691"/>
      <c r="AB89" s="691"/>
      <c r="AC89" s="691"/>
      <c r="AD89" s="691"/>
      <c r="AE89" s="691"/>
      <c r="AF89" s="1255"/>
      <c r="AG89" s="1251"/>
      <c r="AH89" s="1251"/>
      <c r="AI89" s="1255"/>
      <c r="AJ89" s="1251"/>
      <c r="AK89" s="1251"/>
      <c r="AM89" s="2"/>
      <c r="AN89" s="2"/>
      <c r="AO89" s="2"/>
      <c r="AP89" s="2"/>
      <c r="AQ89" s="2"/>
      <c r="AR89" s="2"/>
      <c r="AS89" s="2"/>
      <c r="AT89" s="2"/>
      <c r="AU89" s="2"/>
      <c r="AV89" s="2"/>
      <c r="AW89" s="2"/>
      <c r="AX89" s="2"/>
      <c r="AY89" s="2"/>
      <c r="AZ89" s="2"/>
      <c r="BA89" s="2"/>
      <c r="BB89" s="2"/>
      <c r="BC89" s="2"/>
      <c r="BD89" s="2"/>
      <c r="BE89" s="2"/>
      <c r="BF89" s="2"/>
    </row>
    <row r="90" spans="1:58" s="9" customFormat="1" ht="11.25" customHeight="1">
      <c r="A90" s="314"/>
      <c r="B90" s="314"/>
      <c r="C90" s="314"/>
      <c r="D90" s="60"/>
      <c r="E90" s="8"/>
      <c r="F90" s="1021"/>
      <c r="G90" s="1022"/>
      <c r="H90" s="1214"/>
      <c r="I90" s="1257"/>
      <c r="J90" s="1258"/>
      <c r="K90" s="1259"/>
      <c r="L90" s="1251"/>
      <c r="M90" s="1093"/>
      <c r="N90" s="1260"/>
      <c r="O90" s="1231">
        <v>1</v>
      </c>
      <c r="P90" s="1226" t="s">
        <v>57</v>
      </c>
      <c r="Q90" s="1229" t="s">
        <v>18</v>
      </c>
      <c r="R90" s="1229" t="s">
        <v>18</v>
      </c>
      <c r="S90" s="1229" t="s">
        <v>18</v>
      </c>
      <c r="T90" s="1229" t="s">
        <v>18</v>
      </c>
      <c r="U90" s="1229" t="s">
        <v>18</v>
      </c>
      <c r="V90" s="1229" t="s">
        <v>18</v>
      </c>
      <c r="W90" s="1229" t="s">
        <v>18</v>
      </c>
      <c r="X90" s="1229" t="s">
        <v>18</v>
      </c>
      <c r="Y90" s="1229"/>
      <c r="Z90" s="688"/>
      <c r="AA90" s="689"/>
      <c r="AB90" s="689"/>
      <c r="AC90" s="693"/>
      <c r="AD90" s="693"/>
      <c r="AE90" s="694"/>
      <c r="AF90" s="1255"/>
      <c r="AG90" s="1251"/>
      <c r="AH90" s="1251"/>
      <c r="AI90" s="1255"/>
      <c r="AJ90" s="1251"/>
      <c r="AK90" s="1251"/>
      <c r="AM90" s="2"/>
      <c r="AN90" s="2"/>
      <c r="AO90" s="2"/>
      <c r="AP90" s="2"/>
      <c r="AQ90" s="2"/>
      <c r="AR90" s="2"/>
      <c r="AS90" s="2"/>
      <c r="AT90" s="2"/>
      <c r="AU90" s="2"/>
      <c r="AV90" s="2"/>
      <c r="AW90" s="2"/>
      <c r="AX90" s="2"/>
      <c r="AY90" s="2"/>
      <c r="AZ90" s="2"/>
      <c r="BA90" s="2"/>
      <c r="BB90" s="2"/>
      <c r="BC90" s="2"/>
      <c r="BD90" s="2"/>
      <c r="BE90" s="2"/>
      <c r="BF90" s="2"/>
    </row>
    <row r="91" spans="1:58" s="9" customFormat="1" ht="11.25" customHeight="1">
      <c r="A91" s="314"/>
      <c r="B91" s="314"/>
      <c r="C91" s="314"/>
      <c r="D91" s="60"/>
      <c r="E91" s="8"/>
      <c r="F91" s="1021"/>
      <c r="G91" s="1022"/>
      <c r="H91" s="1214"/>
      <c r="I91" s="1257"/>
      <c r="J91" s="1258"/>
      <c r="K91" s="1259"/>
      <c r="L91" s="1251"/>
      <c r="M91" s="1093"/>
      <c r="N91" s="1260"/>
      <c r="O91" s="1231"/>
      <c r="P91" s="1227"/>
      <c r="Q91" s="1229"/>
      <c r="R91" s="1229"/>
      <c r="S91" s="1256"/>
      <c r="T91" s="1229"/>
      <c r="U91" s="1229"/>
      <c r="V91" s="1229"/>
      <c r="W91" s="1229"/>
      <c r="X91" s="1229"/>
      <c r="Y91" s="1229"/>
      <c r="Z91" s="1020"/>
      <c r="AA91" s="1011">
        <v>1</v>
      </c>
      <c r="AB91" s="692"/>
      <c r="AC91" s="388"/>
      <c r="AD91" s="692">
        <f>AB91</f>
        <v>0</v>
      </c>
      <c r="AE91" s="388"/>
      <c r="AF91" s="1255"/>
      <c r="AG91" s="1251"/>
      <c r="AH91" s="1251"/>
      <c r="AI91" s="1255"/>
      <c r="AJ91" s="1251"/>
      <c r="AK91" s="1251"/>
      <c r="AM91" s="2"/>
      <c r="AN91" s="2"/>
      <c r="AO91" s="2"/>
      <c r="AP91" s="2"/>
      <c r="AQ91" s="2"/>
      <c r="AR91" s="2"/>
      <c r="AS91" s="2"/>
      <c r="AT91" s="2"/>
      <c r="AU91" s="2"/>
      <c r="AV91" s="2"/>
      <c r="AW91" s="2"/>
      <c r="AX91" s="2"/>
      <c r="AY91" s="2"/>
      <c r="AZ91" s="2"/>
      <c r="BA91" s="2"/>
      <c r="BB91" s="2"/>
      <c r="BC91" s="2"/>
      <c r="BD91" s="2"/>
      <c r="BE91" s="2"/>
      <c r="BF91" s="2"/>
    </row>
    <row r="92" spans="1:58" s="9" customFormat="1" ht="11.25" customHeight="1">
      <c r="A92" s="314"/>
      <c r="B92" s="314"/>
      <c r="C92" s="314"/>
      <c r="D92" s="60"/>
      <c r="E92" s="8"/>
      <c r="F92" s="1021"/>
      <c r="G92" s="1022"/>
      <c r="H92" s="1214"/>
      <c r="I92" s="1257"/>
      <c r="J92" s="1258"/>
      <c r="K92" s="1259"/>
      <c r="L92" s="1251"/>
      <c r="M92" s="1093"/>
      <c r="N92" s="1260"/>
      <c r="O92" s="1231"/>
      <c r="P92" s="1228"/>
      <c r="Q92" s="1229"/>
      <c r="R92" s="1229"/>
      <c r="S92" s="1256"/>
      <c r="T92" s="1229"/>
      <c r="U92" s="1229"/>
      <c r="V92" s="1229"/>
      <c r="W92" s="1229"/>
      <c r="X92" s="1229"/>
      <c r="Y92" s="1229"/>
      <c r="Z92" s="688"/>
      <c r="AA92" s="689"/>
      <c r="AB92" s="107" t="s">
        <v>417</v>
      </c>
      <c r="AC92" s="693"/>
      <c r="AD92" s="693"/>
      <c r="AE92" s="695"/>
      <c r="AF92" s="1255"/>
      <c r="AG92" s="1251"/>
      <c r="AH92" s="1251"/>
      <c r="AI92" s="1255"/>
      <c r="AJ92" s="1251"/>
      <c r="AK92" s="1251"/>
      <c r="AM92" s="2"/>
      <c r="AN92" s="2"/>
      <c r="AO92" s="2"/>
      <c r="AP92" s="2"/>
      <c r="AQ92" s="2"/>
      <c r="AR92" s="2"/>
      <c r="AS92" s="2"/>
      <c r="AT92" s="2"/>
      <c r="AU92" s="2"/>
      <c r="AV92" s="2"/>
      <c r="AW92" s="2"/>
      <c r="AX92" s="2"/>
      <c r="AY92" s="2"/>
      <c r="AZ92" s="2"/>
      <c r="BA92" s="2"/>
      <c r="BB92" s="2"/>
      <c r="BC92" s="2"/>
      <c r="BD92" s="2"/>
      <c r="BE92" s="2"/>
      <c r="BF92" s="2"/>
    </row>
    <row r="93" spans="1:58" s="9" customFormat="1" ht="11.25" customHeight="1">
      <c r="A93" s="314"/>
      <c r="B93" s="314"/>
      <c r="C93" s="314"/>
      <c r="D93" s="60"/>
      <c r="E93" s="8"/>
      <c r="F93" s="1021"/>
      <c r="G93" s="1022"/>
      <c r="H93" s="1214"/>
      <c r="I93" s="1257"/>
      <c r="J93" s="1258"/>
      <c r="K93" s="1259"/>
      <c r="L93" s="1251"/>
      <c r="M93" s="1093"/>
      <c r="N93" s="689"/>
      <c r="O93" s="689"/>
      <c r="P93" s="107" t="s">
        <v>418</v>
      </c>
      <c r="Q93" s="689"/>
      <c r="R93" s="689"/>
      <c r="S93" s="689"/>
      <c r="T93" s="689"/>
      <c r="U93" s="689"/>
      <c r="V93" s="689"/>
      <c r="W93" s="689"/>
      <c r="X93" s="689"/>
      <c r="Y93" s="689"/>
      <c r="Z93" s="689"/>
      <c r="AA93" s="689"/>
      <c r="AB93" s="689"/>
      <c r="AC93" s="689"/>
      <c r="AD93" s="689"/>
      <c r="AE93" s="696"/>
      <c r="AF93" s="1255"/>
      <c r="AG93" s="1251"/>
      <c r="AH93" s="1251"/>
      <c r="AI93" s="1255"/>
      <c r="AJ93" s="1251"/>
      <c r="AK93" s="1251"/>
      <c r="AM93" s="2"/>
      <c r="AN93" s="2"/>
      <c r="AO93" s="2"/>
      <c r="AP93" s="2"/>
      <c r="AQ93" s="2"/>
      <c r="AR93" s="2"/>
      <c r="AS93" s="2"/>
      <c r="AT93" s="2"/>
      <c r="AU93" s="2"/>
      <c r="AV93" s="2"/>
      <c r="AW93" s="2"/>
      <c r="AX93" s="2"/>
      <c r="AY93" s="2"/>
      <c r="AZ93" s="2"/>
      <c r="BA93" s="2"/>
      <c r="BB93" s="2"/>
      <c r="BC93" s="2"/>
      <c r="BD93" s="2"/>
      <c r="BE93" s="2"/>
      <c r="BF93" s="2"/>
    </row>
    <row r="95" spans="1:58" s="1016" customFormat="1" ht="11.25" customHeight="1">
      <c r="A95" s="1016" t="s">
        <v>423</v>
      </c>
    </row>
    <row r="96" spans="1:58" ht="17.25" customHeight="1"/>
    <row r="97" spans="1:184" s="548" customFormat="1" ht="21" customHeight="1">
      <c r="A97" s="323"/>
      <c r="B97" s="549"/>
      <c r="E97" s="556" t="s">
        <v>18</v>
      </c>
      <c r="F97" s="678" t="e">
        <f>INDEX(IP_MAIN_LIST_NAME_IP,MATCH(A97,IP_MAIN_LIST_IP_ID,0))&amp;" ("&amp;INDEX(IP_MAIN_START_DATE,MATCH(A97,IP_MAIN_LIST_IP_ID,0))&amp;"-"&amp;INDEX(IP_MAIN_END_DATE,MATCH(A97,IP_MAIN_LIST_IP_ID,0))&amp;")"</f>
        <v>#N/A</v>
      </c>
      <c r="G97" s="712"/>
      <c r="H97" s="713"/>
      <c r="I97" s="713"/>
      <c r="J97" s="713"/>
      <c r="K97" s="713"/>
      <c r="L97" s="713"/>
      <c r="M97" s="713"/>
      <c r="N97" s="713"/>
      <c r="O97" s="712"/>
      <c r="P97" s="712"/>
      <c r="Q97" s="712"/>
      <c r="R97" s="712"/>
      <c r="S97" s="712"/>
      <c r="T97" s="712"/>
      <c r="U97" s="714"/>
      <c r="V97" s="714"/>
      <c r="W97" s="714"/>
      <c r="X97" s="714"/>
      <c r="Y97" s="714"/>
      <c r="Z97" s="714"/>
      <c r="AA97" s="714"/>
      <c r="AB97" s="712"/>
      <c r="AC97" s="713"/>
      <c r="AD97" s="713"/>
      <c r="AE97" s="713"/>
      <c r="AF97" s="713"/>
      <c r="AG97" s="713"/>
      <c r="AH97" s="713"/>
      <c r="AI97" s="713"/>
      <c r="AJ97" s="713"/>
      <c r="AK97" s="713"/>
      <c r="AL97" s="713"/>
      <c r="AM97" s="713"/>
      <c r="AN97" s="713"/>
      <c r="AO97" s="713"/>
      <c r="AP97" s="713"/>
      <c r="AQ97" s="713"/>
      <c r="AR97" s="713"/>
      <c r="AS97" s="713"/>
      <c r="AT97" s="713"/>
      <c r="AU97" s="713"/>
      <c r="AV97" s="713"/>
      <c r="AW97" s="713"/>
      <c r="AX97" s="713"/>
      <c r="AY97" s="713"/>
      <c r="AZ97" s="713"/>
      <c r="BA97" s="713"/>
      <c r="BB97" s="713"/>
      <c r="BC97" s="713"/>
      <c r="BD97" s="713"/>
      <c r="BE97" s="713"/>
      <c r="BF97" s="713"/>
      <c r="BG97" s="713"/>
      <c r="BH97" s="713"/>
      <c r="BI97" s="713"/>
      <c r="BJ97" s="713"/>
      <c r="BK97" s="713"/>
      <c r="BL97" s="713"/>
      <c r="BM97" s="713"/>
      <c r="BN97" s="713"/>
      <c r="BO97" s="713"/>
      <c r="BP97" s="713"/>
      <c r="BQ97" s="713"/>
      <c r="BR97" s="713"/>
      <c r="BS97" s="713"/>
      <c r="BT97" s="713"/>
      <c r="BU97" s="713"/>
      <c r="BV97" s="713"/>
      <c r="BW97" s="713"/>
      <c r="BX97" s="713"/>
      <c r="BY97" s="713"/>
      <c r="BZ97" s="713"/>
      <c r="CA97" s="713"/>
      <c r="CB97" s="713"/>
      <c r="CC97" s="713"/>
      <c r="CD97" s="713"/>
      <c r="CE97" s="713"/>
      <c r="CF97" s="713"/>
      <c r="CG97" s="713"/>
      <c r="CH97" s="713"/>
      <c r="CI97" s="713"/>
      <c r="CJ97" s="713"/>
      <c r="CK97" s="713"/>
      <c r="CL97" s="715"/>
      <c r="CM97" s="715"/>
      <c r="CN97" s="715"/>
      <c r="CO97" s="715"/>
      <c r="CP97" s="715"/>
      <c r="CQ97" s="715"/>
      <c r="CR97" s="715"/>
      <c r="CS97" s="715"/>
      <c r="CT97" s="715"/>
      <c r="CU97" s="715"/>
      <c r="CV97" s="715"/>
      <c r="CW97" s="715"/>
      <c r="CX97" s="715"/>
      <c r="CY97" s="715"/>
      <c r="CZ97" s="715"/>
      <c r="DA97" s="715"/>
      <c r="DB97" s="715"/>
      <c r="DC97" s="715"/>
      <c r="DD97" s="715"/>
      <c r="DE97" s="715"/>
      <c r="DF97" s="715"/>
      <c r="DG97" s="715"/>
      <c r="DH97" s="715"/>
      <c r="DI97" s="715"/>
      <c r="DJ97" s="715"/>
      <c r="DK97" s="715"/>
      <c r="DL97" s="715"/>
      <c r="DM97" s="715"/>
      <c r="DN97" s="715"/>
      <c r="DO97" s="715"/>
      <c r="DP97" s="715"/>
      <c r="DQ97" s="715"/>
      <c r="DR97" s="715"/>
      <c r="DS97" s="715"/>
      <c r="DT97" s="715"/>
      <c r="DU97" s="715"/>
      <c r="DV97" s="715"/>
      <c r="DW97" s="715"/>
      <c r="DX97" s="715"/>
      <c r="DY97" s="715"/>
      <c r="DZ97" s="715"/>
      <c r="EA97" s="715"/>
      <c r="EB97" s="715"/>
      <c r="EC97" s="715"/>
      <c r="ED97" s="715"/>
      <c r="EE97" s="715"/>
      <c r="EF97" s="715"/>
      <c r="EG97" s="715"/>
      <c r="EH97" s="715"/>
      <c r="EI97" s="715"/>
      <c r="EJ97" s="715"/>
      <c r="EK97" s="715"/>
      <c r="EL97" s="715"/>
      <c r="EM97" s="715"/>
      <c r="EN97" s="715"/>
      <c r="EO97" s="715"/>
      <c r="EP97" s="715"/>
      <c r="EQ97" s="715"/>
      <c r="ER97" s="715"/>
      <c r="ES97" s="715"/>
      <c r="ET97" s="715"/>
      <c r="EU97" s="715"/>
      <c r="EV97" s="715"/>
      <c r="EW97" s="715"/>
      <c r="EX97" s="715"/>
      <c r="EY97" s="715"/>
      <c r="EZ97" s="715"/>
      <c r="FA97" s="715"/>
      <c r="FB97" s="715"/>
      <c r="FC97" s="715"/>
      <c r="FD97" s="715"/>
      <c r="FE97" s="715"/>
      <c r="FF97" s="715"/>
      <c r="FG97" s="715"/>
      <c r="FH97" s="715"/>
      <c r="FI97" s="715"/>
      <c r="FJ97" s="715"/>
      <c r="FK97" s="715"/>
      <c r="FL97" s="715"/>
      <c r="FM97" s="715"/>
      <c r="FN97" s="715"/>
      <c r="FO97" s="715"/>
      <c r="FP97" s="715"/>
      <c r="FQ97" s="715"/>
      <c r="FR97" s="715"/>
      <c r="FS97" s="715"/>
      <c r="FT97" s="715"/>
      <c r="FU97" s="715"/>
      <c r="FV97" s="716"/>
      <c r="FW97" s="711"/>
      <c r="FX97" s="220"/>
    </row>
    <row r="98" spans="1:184" s="548" customFormat="1" ht="24.75" customHeight="1">
      <c r="B98" s="549"/>
      <c r="E98"/>
      <c r="F98" s="42">
        <v>1</v>
      </c>
      <c r="G98" s="633"/>
      <c r="H98" s="208"/>
      <c r="I98" s="723"/>
      <c r="J98" s="717"/>
      <c r="K98" s="717"/>
      <c r="L98" s="717"/>
      <c r="M98" s="717"/>
      <c r="N98" s="717"/>
      <c r="O98" s="718"/>
      <c r="P98" s="718"/>
      <c r="Q98" s="718"/>
      <c r="R98" s="718"/>
      <c r="S98" s="718"/>
      <c r="T98" s="718"/>
      <c r="U98" s="718"/>
      <c r="V98" s="718"/>
      <c r="W98" s="718"/>
      <c r="X98" s="718"/>
      <c r="Y98" s="718"/>
      <c r="Z98" s="718"/>
      <c r="AA98" s="718"/>
      <c r="AB98" s="718"/>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7"/>
      <c r="AY98" s="717"/>
      <c r="AZ98" s="717"/>
      <c r="BA98" s="717"/>
      <c r="BB98" s="717"/>
      <c r="BC98" s="717"/>
      <c r="BD98" s="717"/>
      <c r="BE98" s="717"/>
      <c r="BF98" s="717"/>
      <c r="BG98" s="717"/>
      <c r="BH98" s="717"/>
      <c r="BI98" s="717"/>
      <c r="BJ98" s="717"/>
      <c r="BK98" s="717"/>
      <c r="BL98" s="717"/>
      <c r="BM98" s="717"/>
      <c r="BN98" s="717"/>
      <c r="BO98" s="717"/>
      <c r="BP98" s="717"/>
      <c r="BQ98" s="717"/>
      <c r="BR98" s="717"/>
      <c r="BS98" s="717"/>
      <c r="BT98" s="719"/>
      <c r="BU98" s="719"/>
      <c r="BV98" s="719"/>
      <c r="BW98" s="719"/>
      <c r="BX98" s="719"/>
      <c r="BY98" s="719"/>
      <c r="BZ98" s="719"/>
      <c r="CA98" s="719"/>
      <c r="CB98" s="719"/>
      <c r="CC98" s="719"/>
      <c r="CD98" s="719"/>
      <c r="CE98" s="719"/>
      <c r="CF98" s="719"/>
      <c r="CG98" s="719"/>
      <c r="CH98" s="719"/>
      <c r="CI98" s="719"/>
      <c r="CJ98" s="719"/>
      <c r="CK98" s="719"/>
      <c r="CL98" s="717"/>
      <c r="CM98" s="717"/>
      <c r="CN98" s="717"/>
      <c r="CO98" s="717"/>
      <c r="CP98" s="717"/>
      <c r="CQ98" s="717"/>
      <c r="CR98" s="717"/>
      <c r="CS98" s="717"/>
      <c r="CT98" s="717"/>
      <c r="CU98" s="717"/>
      <c r="CV98" s="717"/>
      <c r="CW98" s="717"/>
      <c r="CX98" s="717"/>
      <c r="CY98" s="718"/>
      <c r="CZ98" s="718"/>
      <c r="DA98" s="718"/>
      <c r="DB98" s="718"/>
      <c r="DC98" s="718"/>
      <c r="DD98" s="718"/>
      <c r="DE98" s="718"/>
      <c r="DF98" s="718"/>
      <c r="DG98" s="718"/>
      <c r="DH98" s="718"/>
      <c r="DI98" s="718"/>
      <c r="DJ98" s="718"/>
      <c r="DK98" s="717"/>
      <c r="DL98" s="717"/>
      <c r="DM98" s="717"/>
      <c r="DN98" s="717"/>
      <c r="DO98" s="717"/>
      <c r="DP98" s="717"/>
      <c r="DQ98" s="717"/>
      <c r="DR98" s="717"/>
      <c r="DS98" s="717"/>
      <c r="DT98" s="717"/>
      <c r="DU98" s="717"/>
      <c r="DV98" s="717"/>
      <c r="DW98" s="717"/>
      <c r="DX98" s="717"/>
      <c r="DY98" s="717"/>
      <c r="DZ98" s="717"/>
      <c r="EA98" s="717"/>
      <c r="EB98" s="717"/>
      <c r="EC98" s="717"/>
      <c r="ED98" s="717"/>
      <c r="EE98" s="717"/>
      <c r="EF98" s="717"/>
      <c r="EG98" s="717"/>
      <c r="EH98" s="717"/>
      <c r="EI98" s="717"/>
      <c r="EJ98" s="717"/>
      <c r="EK98" s="717"/>
      <c r="EL98" s="717"/>
      <c r="EM98" s="717"/>
      <c r="EN98" s="717"/>
      <c r="EO98" s="717"/>
      <c r="EP98" s="717"/>
      <c r="EQ98" s="717"/>
      <c r="ER98" s="717"/>
      <c r="ES98" s="717"/>
      <c r="ET98" s="717"/>
      <c r="EU98" s="717"/>
      <c r="EV98" s="717"/>
      <c r="EW98" s="717"/>
      <c r="EX98" s="717"/>
      <c r="EY98" s="717"/>
      <c r="EZ98" s="717"/>
      <c r="FA98" s="717"/>
      <c r="FB98" s="717"/>
      <c r="FC98" s="717"/>
      <c r="FD98" s="717"/>
      <c r="FE98" s="717"/>
      <c r="FF98" s="717"/>
      <c r="FG98" s="717"/>
      <c r="FH98" s="717"/>
      <c r="FI98" s="717"/>
      <c r="FJ98" s="717"/>
      <c r="FK98" s="717"/>
      <c r="FL98" s="717"/>
      <c r="FM98" s="717"/>
      <c r="FN98" s="717"/>
      <c r="FO98" s="717"/>
      <c r="FP98" s="717"/>
      <c r="FQ98" s="717"/>
      <c r="FR98" s="717"/>
      <c r="FS98" s="717"/>
      <c r="FT98" s="717"/>
      <c r="FU98" s="717"/>
      <c r="FV98" s="717"/>
      <c r="FW98" s="717"/>
      <c r="FX98" s="220"/>
    </row>
    <row r="99" spans="1:184" s="548" customFormat="1" ht="12" customHeight="1">
      <c r="B99" s="549"/>
      <c r="F99" s="720"/>
      <c r="G99" s="721" t="s">
        <v>424</v>
      </c>
      <c r="H99" s="721"/>
      <c r="I99" s="721"/>
      <c r="J99" s="721"/>
      <c r="K99" s="721"/>
      <c r="L99" s="721"/>
      <c r="M99" s="721"/>
      <c r="N99" s="721"/>
      <c r="O99" s="721"/>
      <c r="P99" s="721"/>
      <c r="Q99" s="721"/>
      <c r="R99" s="721"/>
      <c r="S99" s="721"/>
      <c r="T99" s="721"/>
      <c r="U99" s="721"/>
      <c r="V99" s="721"/>
      <c r="W99" s="721"/>
      <c r="X99" s="721"/>
      <c r="Y99" s="721"/>
      <c r="Z99" s="721"/>
      <c r="AA99" s="721"/>
      <c r="AB99" s="721"/>
      <c r="AC99" s="721"/>
      <c r="AD99" s="721"/>
      <c r="AE99" s="721"/>
      <c r="AF99" s="721"/>
      <c r="AG99" s="721"/>
      <c r="AH99" s="721"/>
      <c r="AI99" s="721"/>
      <c r="AJ99" s="721"/>
      <c r="AK99" s="721"/>
      <c r="AL99" s="721"/>
      <c r="AM99" s="721"/>
      <c r="AN99" s="721"/>
      <c r="AO99" s="721"/>
      <c r="AP99" s="721"/>
      <c r="AQ99" s="721"/>
      <c r="AR99" s="721"/>
      <c r="AS99" s="721"/>
      <c r="AT99" s="721"/>
      <c r="AU99" s="721"/>
      <c r="AV99" s="721"/>
      <c r="AW99" s="721"/>
      <c r="AX99" s="721"/>
      <c r="AY99" s="721"/>
      <c r="AZ99" s="721"/>
      <c r="BA99" s="721"/>
      <c r="BB99" s="721"/>
      <c r="BC99" s="721"/>
      <c r="BD99" s="721"/>
      <c r="BE99" s="721"/>
      <c r="BF99" s="721"/>
      <c r="BG99" s="721"/>
      <c r="BH99" s="721"/>
      <c r="BI99" s="721"/>
      <c r="BJ99" s="721"/>
      <c r="BK99" s="721"/>
      <c r="BL99" s="721"/>
      <c r="BM99" s="721"/>
      <c r="BN99" s="721"/>
      <c r="BO99" s="721"/>
      <c r="BP99" s="721"/>
      <c r="BQ99" s="721"/>
      <c r="BR99" s="721"/>
      <c r="BS99" s="721"/>
      <c r="BT99" s="721"/>
      <c r="BU99" s="721"/>
      <c r="BV99" s="721"/>
      <c r="BW99" s="721"/>
      <c r="BX99" s="721"/>
      <c r="BY99" s="721"/>
      <c r="BZ99" s="721"/>
      <c r="CA99" s="721"/>
      <c r="CB99" s="721"/>
      <c r="CC99" s="721"/>
      <c r="CD99" s="721"/>
      <c r="CE99" s="721"/>
      <c r="CF99" s="721"/>
      <c r="CG99" s="721"/>
      <c r="CH99" s="721"/>
      <c r="CI99" s="721"/>
      <c r="CJ99" s="721"/>
      <c r="CK99" s="721"/>
      <c r="CL99" s="721"/>
      <c r="CM99" s="721"/>
      <c r="CN99" s="721"/>
      <c r="CO99" s="721"/>
      <c r="CP99" s="721"/>
      <c r="CQ99" s="721"/>
      <c r="CR99" s="721"/>
      <c r="CS99" s="721"/>
      <c r="CT99" s="721"/>
      <c r="CU99" s="721"/>
      <c r="CV99" s="721"/>
      <c r="CW99" s="721"/>
      <c r="CX99" s="721"/>
      <c r="CY99" s="721"/>
      <c r="CZ99" s="721"/>
      <c r="DA99" s="721"/>
      <c r="DB99" s="721"/>
      <c r="DC99" s="721"/>
      <c r="DD99" s="721"/>
      <c r="DE99" s="721"/>
      <c r="DF99" s="721"/>
      <c r="DG99" s="721"/>
      <c r="DH99" s="721"/>
      <c r="DI99" s="721"/>
      <c r="DJ99" s="721"/>
      <c r="DK99" s="721"/>
      <c r="DL99" s="721"/>
      <c r="DM99" s="721"/>
      <c r="DN99" s="721"/>
      <c r="DO99" s="721"/>
      <c r="DP99" s="721"/>
      <c r="DQ99" s="721"/>
      <c r="DR99" s="721"/>
      <c r="DS99" s="721"/>
      <c r="DT99" s="721"/>
      <c r="DU99" s="721"/>
      <c r="DV99" s="721"/>
      <c r="DW99" s="721"/>
      <c r="DX99" s="721"/>
      <c r="DY99" s="721"/>
      <c r="DZ99" s="721"/>
      <c r="EA99" s="721"/>
      <c r="EB99" s="721"/>
      <c r="EC99" s="721"/>
      <c r="ED99" s="721"/>
      <c r="EE99" s="721"/>
      <c r="EF99" s="721"/>
      <c r="EG99" s="721"/>
      <c r="EH99" s="721"/>
      <c r="EI99" s="721"/>
      <c r="EJ99" s="721"/>
      <c r="EK99" s="721"/>
      <c r="EL99" s="721"/>
      <c r="EM99" s="721"/>
      <c r="EN99" s="721"/>
      <c r="EO99" s="721"/>
      <c r="EP99" s="721"/>
      <c r="EQ99" s="721"/>
      <c r="ER99" s="721"/>
      <c r="ES99" s="721"/>
      <c r="ET99" s="721"/>
      <c r="EU99" s="721"/>
      <c r="EV99" s="721"/>
      <c r="EW99" s="721"/>
      <c r="EX99" s="721"/>
      <c r="EY99" s="721"/>
      <c r="EZ99" s="721"/>
      <c r="FA99" s="721"/>
      <c r="FB99" s="721"/>
      <c r="FC99" s="721"/>
      <c r="FD99" s="721"/>
      <c r="FE99" s="721"/>
      <c r="FF99" s="721"/>
      <c r="FG99" s="721"/>
      <c r="FH99" s="721"/>
      <c r="FI99" s="721"/>
      <c r="FJ99" s="721"/>
      <c r="FK99" s="721"/>
      <c r="FL99" s="721"/>
      <c r="FM99" s="721"/>
      <c r="FN99" s="721"/>
      <c r="FO99" s="721"/>
      <c r="FP99" s="721"/>
      <c r="FQ99" s="721"/>
      <c r="FR99" s="721"/>
      <c r="FS99" s="721"/>
      <c r="FT99" s="721"/>
      <c r="FU99" s="721"/>
      <c r="FV99" s="721"/>
      <c r="FW99" s="722"/>
      <c r="FX99" s="2"/>
      <c r="FY99" s="55"/>
      <c r="FZ99" s="55"/>
      <c r="GA99" s="55"/>
      <c r="GB99" s="55"/>
    </row>
    <row r="101" spans="1:184" s="1016" customFormat="1" ht="11.25" customHeight="1">
      <c r="A101" s="1016" t="s">
        <v>425</v>
      </c>
    </row>
    <row r="103" spans="1:184" ht="15" hidden="1" customHeight="1">
      <c r="A103" s="31"/>
      <c r="D103" s="1219" t="s">
        <v>119</v>
      </c>
      <c r="E103" s="1222" t="s">
        <v>115</v>
      </c>
      <c r="F103" s="1223"/>
      <c r="G103" s="1224"/>
      <c r="H103" s="1225" t="str">
        <f>IF(A103="","",INDEX(DIFFERENTIATION_UNMERGE_VD,MATCH(A103,DIFFERENTIATION_ID_DIFF,0)))</f>
        <v/>
      </c>
      <c r="I103" s="1225"/>
      <c r="J103" s="1225"/>
      <c r="K103" s="1225"/>
      <c r="L103" s="1225"/>
      <c r="M103" s="1225"/>
      <c r="N103" s="1225"/>
      <c r="O103" s="1225"/>
      <c r="P103" s="1225"/>
      <c r="Q103" s="1225"/>
      <c r="R103" s="1225"/>
      <c r="S103" s="423"/>
      <c r="T103" s="421"/>
      <c r="U103" s="101"/>
      <c r="V103" s="101"/>
      <c r="W103" s="59"/>
      <c r="X103" s="59"/>
      <c r="Y103" s="59"/>
      <c r="Z103" s="59"/>
      <c r="AA103" s="101"/>
      <c r="AB103" s="59"/>
      <c r="AC103" s="1234"/>
      <c r="AD103" s="59"/>
      <c r="AE103" s="368" t="s">
        <v>18</v>
      </c>
      <c r="AF103" s="368"/>
      <c r="AG103" s="369" t="s">
        <v>426</v>
      </c>
      <c r="AH103" s="370">
        <v>3</v>
      </c>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59"/>
      <c r="BW103" s="59"/>
      <c r="BX103" s="59"/>
      <c r="BY103" s="59"/>
      <c r="BZ103" s="59"/>
      <c r="CA103" s="59"/>
      <c r="CB103" s="59"/>
      <c r="CC103" s="59"/>
      <c r="CD103" s="59"/>
      <c r="CE103" s="59"/>
    </row>
    <row r="104" spans="1:184" ht="15" hidden="1" customHeight="1">
      <c r="A104" s="31"/>
      <c r="D104" s="1220"/>
      <c r="E104" s="1222" t="s">
        <v>427</v>
      </c>
      <c r="F104" s="1223"/>
      <c r="G104" s="1224"/>
      <c r="H104" s="1225" t="str">
        <f>IF(A103="","",INDEX(DIFFERENTIATION_UNMERGE_AREA,MATCH(A103,DIFFERENTIATION_ID_DIFF,0)))</f>
        <v/>
      </c>
      <c r="I104" s="1225"/>
      <c r="J104" s="1225"/>
      <c r="K104" s="1225"/>
      <c r="L104" s="1225"/>
      <c r="M104" s="1225"/>
      <c r="N104" s="1225"/>
      <c r="O104" s="1225"/>
      <c r="P104" s="1225"/>
      <c r="Q104" s="1225"/>
      <c r="R104" s="1225"/>
      <c r="S104" s="423"/>
      <c r="T104" s="421"/>
      <c r="U104" s="101"/>
      <c r="V104" s="101"/>
      <c r="W104" s="59"/>
      <c r="X104" s="59"/>
      <c r="Y104" s="59"/>
      <c r="Z104" s="59"/>
      <c r="AA104" s="101"/>
      <c r="AB104" s="59"/>
      <c r="AC104" s="1234"/>
      <c r="AD104" s="59"/>
      <c r="AE104" s="368"/>
      <c r="AF104" s="368"/>
      <c r="AG104" s="369"/>
      <c r="AH104" s="370"/>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59"/>
      <c r="BW104" s="59"/>
      <c r="BX104" s="59"/>
      <c r="BY104" s="59"/>
      <c r="BZ104" s="59"/>
      <c r="CA104" s="59"/>
      <c r="CB104" s="59"/>
      <c r="CC104" s="59"/>
      <c r="CD104" s="59"/>
      <c r="CE104" s="59"/>
    </row>
    <row r="105" spans="1:184" ht="15" hidden="1" customHeight="1">
      <c r="A105" s="31"/>
      <c r="D105" s="1220"/>
      <c r="E105" s="1222" t="s">
        <v>428</v>
      </c>
      <c r="F105" s="1223"/>
      <c r="G105" s="1224"/>
      <c r="H105" s="1225" t="str">
        <f>IF(A103="","",INDEX(DIFFERENTIATION_UNMERGE_SYSTEM,MATCH(A103,DIFFERENTIATION_ID_DIFF,0)))</f>
        <v/>
      </c>
      <c r="I105" s="1225"/>
      <c r="J105" s="1225"/>
      <c r="K105" s="1225"/>
      <c r="L105" s="1225"/>
      <c r="M105" s="1225"/>
      <c r="N105" s="1225"/>
      <c r="O105" s="1225"/>
      <c r="P105" s="1225"/>
      <c r="Q105" s="1225"/>
      <c r="R105" s="1225"/>
      <c r="S105" s="423"/>
      <c r="T105" s="421"/>
      <c r="U105" s="101"/>
      <c r="V105" s="101"/>
      <c r="W105" s="59"/>
      <c r="X105" s="59"/>
      <c r="Y105" s="59"/>
      <c r="Z105" s="59"/>
      <c r="AA105" s="101"/>
      <c r="AB105" s="59"/>
      <c r="AC105" s="1234"/>
      <c r="AD105" s="59"/>
      <c r="AE105" s="368"/>
      <c r="AF105" s="368"/>
      <c r="AG105" s="369"/>
      <c r="AH105" s="370"/>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59"/>
      <c r="BW105" s="59"/>
      <c r="BX105" s="59"/>
      <c r="BY105" s="59"/>
      <c r="BZ105" s="59"/>
      <c r="CA105" s="59"/>
      <c r="CB105" s="59"/>
      <c r="CC105" s="59"/>
      <c r="CD105" s="59"/>
      <c r="CE105" s="59"/>
    </row>
    <row r="106" spans="1:184" ht="24.75" hidden="1" customHeight="1">
      <c r="A106" s="312"/>
      <c r="B106" s="60"/>
      <c r="C106" s="247"/>
      <c r="D106" s="1220"/>
      <c r="E106" s="1240" t="s">
        <v>429</v>
      </c>
      <c r="F106" s="1240"/>
      <c r="G106" s="1240"/>
      <c r="H106" s="1240"/>
      <c r="I106" s="1240"/>
      <c r="J106" s="1240"/>
      <c r="K106" s="1240"/>
      <c r="L106" s="1240"/>
      <c r="M106" s="1240"/>
      <c r="N106" s="1240"/>
      <c r="O106" s="1240"/>
      <c r="P106" s="1240"/>
      <c r="Q106" s="332">
        <f>SUMIF(T107:T108,"i",Q107:Q108)</f>
        <v>0</v>
      </c>
      <c r="R106" s="610"/>
      <c r="S106" s="150" t="s">
        <v>430</v>
      </c>
      <c r="T106" s="421" t="s">
        <v>431</v>
      </c>
      <c r="U106" s="1211">
        <v>1</v>
      </c>
      <c r="V106" s="1211" t="s">
        <v>432</v>
      </c>
      <c r="W106" s="60"/>
      <c r="X106" s="60"/>
      <c r="Y106" s="60"/>
      <c r="Z106" s="60"/>
      <c r="AA106" s="65"/>
      <c r="AB106" s="60"/>
      <c r="AC106" s="1234"/>
      <c r="AD106" s="59"/>
      <c r="AE106" s="60"/>
      <c r="AF106" s="60"/>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65"/>
      <c r="BR106" s="65"/>
      <c r="BS106" s="65"/>
      <c r="BT106" s="65"/>
      <c r="BU106" s="65"/>
      <c r="BV106" s="60"/>
      <c r="BW106" s="60"/>
      <c r="BX106" s="60"/>
      <c r="BY106" s="60"/>
      <c r="BZ106" s="60"/>
      <c r="CA106" s="60"/>
      <c r="CB106" s="60"/>
      <c r="CC106" s="60"/>
      <c r="CD106" s="60"/>
      <c r="CE106" s="60"/>
    </row>
    <row r="107" spans="1:184" ht="11.25" hidden="1" customHeight="1">
      <c r="A107" s="119"/>
      <c r="B107" s="65"/>
      <c r="C107" s="65"/>
      <c r="D107" s="1220"/>
      <c r="E107" s="371"/>
      <c r="F107" s="371">
        <v>0</v>
      </c>
      <c r="G107" s="371"/>
      <c r="H107" s="371"/>
      <c r="I107" s="371"/>
      <c r="J107" s="371"/>
      <c r="K107" s="371"/>
      <c r="L107" s="371"/>
      <c r="M107" s="371"/>
      <c r="N107" s="371"/>
      <c r="O107" s="371"/>
      <c r="P107" s="371"/>
      <c r="Q107" s="371"/>
      <c r="R107" s="371"/>
      <c r="S107" s="327"/>
      <c r="T107" s="422"/>
      <c r="U107" s="1211"/>
      <c r="V107" s="1211"/>
      <c r="W107" s="65"/>
      <c r="X107" s="65"/>
      <c r="Y107" s="65"/>
      <c r="Z107" s="65"/>
      <c r="AA107" s="65"/>
      <c r="AB107" s="60"/>
      <c r="AC107" s="1234"/>
      <c r="AD107" s="59"/>
      <c r="AE107" s="60"/>
      <c r="AF107" s="60"/>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65"/>
      <c r="CC107" s="65"/>
      <c r="CD107" s="65"/>
      <c r="CE107" s="65"/>
    </row>
    <row r="108" spans="1:184" ht="11.25" hidden="1" customHeight="1">
      <c r="A108" s="312"/>
      <c r="B108" s="60"/>
      <c r="C108" s="247"/>
      <c r="D108" s="1220"/>
      <c r="E108" s="186" t="s">
        <v>18</v>
      </c>
      <c r="F108" s="107" t="s">
        <v>18</v>
      </c>
      <c r="G108" s="107" t="s">
        <v>433</v>
      </c>
      <c r="H108" s="50" t="s">
        <v>18</v>
      </c>
      <c r="I108" s="50"/>
      <c r="J108" s="50"/>
      <c r="K108" s="50"/>
      <c r="L108" s="50"/>
      <c r="M108" s="50"/>
      <c r="N108" s="50"/>
      <c r="O108" s="50"/>
      <c r="P108" s="50"/>
      <c r="Q108" s="50"/>
      <c r="R108" s="361"/>
      <c r="S108" s="379"/>
      <c r="T108" s="422"/>
      <c r="U108" s="1211"/>
      <c r="V108" s="1211"/>
      <c r="W108" s="60"/>
      <c r="X108" s="60"/>
      <c r="Y108" s="60"/>
      <c r="Z108" s="60"/>
      <c r="AA108" s="65"/>
      <c r="AB108" s="60"/>
      <c r="AC108" s="1234"/>
      <c r="AD108" s="59"/>
      <c r="AE108" s="60"/>
      <c r="AF108" s="60"/>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c r="BN108" s="65"/>
      <c r="BO108" s="65"/>
      <c r="BP108" s="65"/>
      <c r="BQ108" s="65"/>
      <c r="BR108" s="65"/>
      <c r="BS108" s="65"/>
      <c r="BT108" s="65"/>
      <c r="BU108" s="65"/>
      <c r="BV108" s="60"/>
      <c r="BW108" s="60"/>
      <c r="BX108" s="60"/>
      <c r="BY108" s="60"/>
      <c r="BZ108" s="60"/>
      <c r="CA108" s="60"/>
      <c r="CB108" s="60"/>
      <c r="CC108" s="60"/>
      <c r="CD108" s="60"/>
      <c r="CE108" s="60"/>
    </row>
    <row r="109" spans="1:184" ht="24.75" hidden="1" customHeight="1">
      <c r="A109" s="312"/>
      <c r="B109" s="60"/>
      <c r="C109" s="247"/>
      <c r="D109" s="1220"/>
      <c r="E109" s="1240" t="s">
        <v>434</v>
      </c>
      <c r="F109" s="1240"/>
      <c r="G109" s="1240"/>
      <c r="H109" s="1240"/>
      <c r="I109" s="1240"/>
      <c r="J109" s="1240"/>
      <c r="K109" s="1240"/>
      <c r="L109" s="1240"/>
      <c r="M109" s="1240"/>
      <c r="N109" s="1240"/>
      <c r="O109" s="1240"/>
      <c r="P109" s="1240"/>
      <c r="Q109" s="332">
        <f>SUMIF(T110:T111,"i",Q110:Q111)</f>
        <v>0</v>
      </c>
      <c r="R109" s="610"/>
      <c r="S109" s="150" t="s">
        <v>435</v>
      </c>
      <c r="T109" s="421" t="s">
        <v>431</v>
      </c>
      <c r="U109" s="1211">
        <v>1</v>
      </c>
      <c r="V109" s="1211" t="s">
        <v>432</v>
      </c>
      <c r="W109" s="60"/>
      <c r="X109" s="60"/>
      <c r="Y109" s="60"/>
      <c r="Z109" s="60"/>
      <c r="AA109" s="65"/>
      <c r="AB109" s="60"/>
      <c r="AC109" s="414"/>
      <c r="AD109" s="59"/>
      <c r="AE109" s="60"/>
      <c r="AF109" s="60"/>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0"/>
      <c r="BW109" s="60"/>
      <c r="BX109" s="60"/>
      <c r="BY109" s="60"/>
      <c r="BZ109" s="60"/>
      <c r="CA109" s="60"/>
      <c r="CB109" s="60"/>
      <c r="CC109" s="60"/>
      <c r="CD109" s="60"/>
      <c r="CE109" s="60"/>
    </row>
    <row r="110" spans="1:184" ht="11.25" hidden="1" customHeight="1">
      <c r="A110" s="119"/>
      <c r="B110" s="65"/>
      <c r="C110" s="65"/>
      <c r="D110" s="1220"/>
      <c r="E110" s="371"/>
      <c r="F110" s="371">
        <v>0</v>
      </c>
      <c r="G110" s="371"/>
      <c r="H110" s="371"/>
      <c r="I110" s="371"/>
      <c r="J110" s="371"/>
      <c r="K110" s="371"/>
      <c r="L110" s="371"/>
      <c r="M110" s="371"/>
      <c r="N110" s="371"/>
      <c r="O110" s="371"/>
      <c r="P110" s="371"/>
      <c r="Q110" s="371"/>
      <c r="R110" s="371"/>
      <c r="S110" s="327"/>
      <c r="T110" s="422"/>
      <c r="U110" s="1211"/>
      <c r="V110" s="1211"/>
      <c r="W110" s="65"/>
      <c r="X110" s="65"/>
      <c r="Y110" s="65"/>
      <c r="Z110" s="65"/>
      <c r="AA110" s="65"/>
      <c r="AB110" s="60"/>
      <c r="AC110" s="414"/>
      <c r="AD110" s="59"/>
      <c r="AE110" s="60"/>
      <c r="AF110" s="60"/>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5"/>
      <c r="BX110" s="65"/>
      <c r="BY110" s="65"/>
      <c r="BZ110" s="65"/>
      <c r="CA110" s="65"/>
      <c r="CB110" s="65"/>
      <c r="CC110" s="65"/>
      <c r="CD110" s="65"/>
      <c r="CE110" s="65"/>
    </row>
    <row r="111" spans="1:184" ht="11.25" hidden="1" customHeight="1">
      <c r="A111" s="312"/>
      <c r="B111" s="60"/>
      <c r="C111" s="247"/>
      <c r="D111" s="1221"/>
      <c r="E111" s="186" t="s">
        <v>18</v>
      </c>
      <c r="F111" s="107" t="s">
        <v>18</v>
      </c>
      <c r="G111" s="107" t="s">
        <v>433</v>
      </c>
      <c r="H111" s="50" t="s">
        <v>18</v>
      </c>
      <c r="I111" s="50"/>
      <c r="J111" s="50"/>
      <c r="K111" s="50"/>
      <c r="L111" s="50"/>
      <c r="M111" s="50"/>
      <c r="N111" s="50"/>
      <c r="O111" s="50"/>
      <c r="P111" s="50"/>
      <c r="Q111" s="50"/>
      <c r="R111" s="361"/>
      <c r="S111" s="379"/>
      <c r="T111" s="422"/>
      <c r="U111" s="1211"/>
      <c r="V111" s="1211"/>
      <c r="W111" s="60"/>
      <c r="X111" s="60"/>
      <c r="Y111" s="60"/>
      <c r="Z111" s="60"/>
      <c r="AA111" s="65"/>
      <c r="AB111" s="60"/>
      <c r="AC111" s="414"/>
      <c r="AD111" s="59"/>
      <c r="AE111" s="60"/>
      <c r="AF111" s="60"/>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0"/>
      <c r="BW111" s="60"/>
      <c r="BX111" s="60"/>
      <c r="BY111" s="60"/>
      <c r="BZ111" s="60"/>
      <c r="CA111" s="60"/>
      <c r="CB111" s="60"/>
      <c r="CC111" s="60"/>
      <c r="CD111" s="60"/>
      <c r="CE111" s="60"/>
    </row>
    <row r="113" spans="1:83" s="1016" customFormat="1" ht="11.25" customHeight="1">
      <c r="A113" s="1016" t="s">
        <v>436</v>
      </c>
    </row>
    <row r="115" spans="1:83" ht="15" customHeight="1">
      <c r="A115" s="31"/>
      <c r="D115" s="1219" t="s">
        <v>119</v>
      </c>
      <c r="E115" s="1222" t="s">
        <v>115</v>
      </c>
      <c r="F115" s="1223"/>
      <c r="G115" s="1224"/>
      <c r="H115" s="1225" t="str">
        <f>IF(A115="","",INDEX(DIFFERENTIATION_UNMERGE_VD,MATCH(A115,DIFFERENTIATION_ID_DIFF,0)))</f>
        <v/>
      </c>
      <c r="I115" s="1225"/>
      <c r="J115" s="1225"/>
      <c r="K115" s="1225"/>
      <c r="L115" s="1225"/>
      <c r="M115" s="1225"/>
      <c r="N115" s="1225"/>
      <c r="O115" s="1225"/>
      <c r="P115" s="1225"/>
      <c r="Q115" s="1225"/>
      <c r="R115" s="1225"/>
      <c r="S115" s="423"/>
      <c r="T115" s="421"/>
      <c r="U115" s="101"/>
      <c r="V115" s="101"/>
      <c r="W115" s="59"/>
      <c r="X115" s="59"/>
      <c r="Y115" s="59"/>
      <c r="Z115" s="59"/>
      <c r="AA115" s="101"/>
      <c r="AB115" s="59"/>
      <c r="AC115" s="1234"/>
      <c r="AD115" s="59"/>
      <c r="AE115" s="368" t="s">
        <v>18</v>
      </c>
      <c r="AF115" s="368"/>
      <c r="AG115" s="369" t="s">
        <v>426</v>
      </c>
      <c r="AH115" s="370">
        <v>3</v>
      </c>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59"/>
      <c r="BW115" s="59"/>
      <c r="BX115" s="59"/>
      <c r="BY115" s="59"/>
      <c r="BZ115" s="59"/>
      <c r="CA115" s="59"/>
      <c r="CB115" s="59"/>
      <c r="CC115" s="59"/>
      <c r="CD115" s="59"/>
      <c r="CE115" s="59"/>
    </row>
    <row r="116" spans="1:83" ht="15" customHeight="1">
      <c r="A116" s="31"/>
      <c r="D116" s="1220"/>
      <c r="E116" s="1222" t="s">
        <v>427</v>
      </c>
      <c r="F116" s="1223"/>
      <c r="G116" s="1224"/>
      <c r="H116" s="1225" t="str">
        <f>IF(A115="","",INDEX(DIFFERENTIATION_UNMERGE_AREA,MATCH(A115,DIFFERENTIATION_ID_DIFF,0)))</f>
        <v/>
      </c>
      <c r="I116" s="1225"/>
      <c r="J116" s="1225"/>
      <c r="K116" s="1225"/>
      <c r="L116" s="1225"/>
      <c r="M116" s="1225"/>
      <c r="N116" s="1225"/>
      <c r="O116" s="1225"/>
      <c r="P116" s="1225"/>
      <c r="Q116" s="1225"/>
      <c r="R116" s="1225"/>
      <c r="S116" s="423"/>
      <c r="T116" s="421"/>
      <c r="U116" s="101"/>
      <c r="V116" s="101"/>
      <c r="W116" s="59"/>
      <c r="X116" s="59"/>
      <c r="Y116" s="59"/>
      <c r="Z116" s="59"/>
      <c r="AA116" s="101"/>
      <c r="AB116" s="59"/>
      <c r="AC116" s="1234"/>
      <c r="AD116" s="59"/>
      <c r="AE116" s="368"/>
      <c r="AF116" s="368"/>
      <c r="AG116" s="369"/>
      <c r="AH116" s="370"/>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59"/>
      <c r="BW116" s="59"/>
      <c r="BX116" s="59"/>
      <c r="BY116" s="59"/>
      <c r="BZ116" s="59"/>
      <c r="CA116" s="59"/>
      <c r="CB116" s="59"/>
      <c r="CC116" s="59"/>
      <c r="CD116" s="59"/>
      <c r="CE116" s="59"/>
    </row>
    <row r="117" spans="1:83" ht="15" customHeight="1">
      <c r="A117" s="31"/>
      <c r="D117" s="1220"/>
      <c r="E117" s="1222" t="s">
        <v>428</v>
      </c>
      <c r="F117" s="1223"/>
      <c r="G117" s="1224"/>
      <c r="H117" s="1225" t="str">
        <f>IF(A115="","",INDEX(DIFFERENTIATION_UNMERGE_SYSTEM,MATCH(A115,DIFFERENTIATION_ID_DIFF,0)))</f>
        <v/>
      </c>
      <c r="I117" s="1225"/>
      <c r="J117" s="1225"/>
      <c r="K117" s="1225"/>
      <c r="L117" s="1225"/>
      <c r="M117" s="1225"/>
      <c r="N117" s="1225"/>
      <c r="O117" s="1225"/>
      <c r="P117" s="1225"/>
      <c r="Q117" s="1225"/>
      <c r="R117" s="1225"/>
      <c r="S117" s="423"/>
      <c r="T117" s="421"/>
      <c r="U117" s="101"/>
      <c r="V117" s="101"/>
      <c r="W117" s="59"/>
      <c r="X117" s="59"/>
      <c r="Y117" s="59"/>
      <c r="Z117" s="59"/>
      <c r="AA117" s="101"/>
      <c r="AB117" s="59"/>
      <c r="AC117" s="1234"/>
      <c r="AD117" s="59"/>
      <c r="AE117" s="368"/>
      <c r="AF117" s="368"/>
      <c r="AG117" s="369"/>
      <c r="AH117" s="370"/>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59"/>
      <c r="BW117" s="59"/>
      <c r="BX117" s="59"/>
      <c r="BY117" s="59"/>
      <c r="BZ117" s="59"/>
      <c r="CA117" s="59"/>
      <c r="CB117" s="59"/>
      <c r="CC117" s="59"/>
      <c r="CD117" s="59"/>
      <c r="CE117" s="59"/>
    </row>
    <row r="118" spans="1:83" ht="24.75" customHeight="1">
      <c r="A118" s="312"/>
      <c r="B118" s="60"/>
      <c r="C118" s="247"/>
      <c r="D118" s="1220"/>
      <c r="E118" s="1240" t="s">
        <v>429</v>
      </c>
      <c r="F118" s="1240"/>
      <c r="G118" s="1240"/>
      <c r="H118" s="1240"/>
      <c r="I118" s="1240"/>
      <c r="J118" s="1240"/>
      <c r="K118" s="1240"/>
      <c r="L118" s="1240"/>
      <c r="M118" s="1240"/>
      <c r="N118" s="1240"/>
      <c r="O118" s="1240"/>
      <c r="P118" s="1240"/>
      <c r="Q118" s="332">
        <f>SUMIF(T119:T120,"i",Q119:Q120)</f>
        <v>0</v>
      </c>
      <c r="R118" s="610"/>
      <c r="S118" s="150" t="s">
        <v>430</v>
      </c>
      <c r="T118" s="421" t="s">
        <v>431</v>
      </c>
      <c r="U118" s="1211">
        <v>1</v>
      </c>
      <c r="V118" s="1211" t="s">
        <v>432</v>
      </c>
      <c r="W118" s="60"/>
      <c r="X118" s="60"/>
      <c r="Y118" s="60"/>
      <c r="Z118" s="60"/>
      <c r="AA118" s="65"/>
      <c r="AB118" s="60"/>
      <c r="AC118" s="1234"/>
      <c r="AD118" s="59"/>
      <c r="AE118" s="60"/>
      <c r="AF118" s="60"/>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0"/>
      <c r="BW118" s="60"/>
      <c r="BX118" s="60"/>
      <c r="BY118" s="60"/>
      <c r="BZ118" s="60"/>
      <c r="CA118" s="60"/>
      <c r="CB118" s="60"/>
      <c r="CC118" s="60"/>
      <c r="CD118" s="60"/>
      <c r="CE118" s="60"/>
    </row>
    <row r="119" spans="1:83" ht="11.25" hidden="1" customHeight="1">
      <c r="A119" s="119"/>
      <c r="B119" s="65"/>
      <c r="C119" s="65"/>
      <c r="D119" s="1220"/>
      <c r="E119" s="371"/>
      <c r="F119" s="371">
        <v>0</v>
      </c>
      <c r="G119" s="371"/>
      <c r="H119" s="371"/>
      <c r="I119" s="371"/>
      <c r="J119" s="371"/>
      <c r="K119" s="371"/>
      <c r="L119" s="371"/>
      <c r="M119" s="371"/>
      <c r="N119" s="371"/>
      <c r="O119" s="371"/>
      <c r="P119" s="371"/>
      <c r="Q119" s="371"/>
      <c r="R119" s="371"/>
      <c r="S119" s="327"/>
      <c r="T119" s="422"/>
      <c r="U119" s="1211"/>
      <c r="V119" s="1211"/>
      <c r="W119" s="65"/>
      <c r="X119" s="65"/>
      <c r="Y119" s="65"/>
      <c r="Z119" s="65"/>
      <c r="AA119" s="65"/>
      <c r="AB119" s="60"/>
      <c r="AC119" s="1234"/>
      <c r="AD119" s="59"/>
      <c r="AE119" s="60"/>
      <c r="AF119" s="60"/>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5"/>
      <c r="CE119" s="65"/>
    </row>
    <row r="120" spans="1:83" ht="11.25" customHeight="1">
      <c r="A120" s="312"/>
      <c r="B120" s="60"/>
      <c r="C120" s="247"/>
      <c r="D120" s="1220"/>
      <c r="E120" s="186" t="s">
        <v>18</v>
      </c>
      <c r="F120" s="107" t="s">
        <v>18</v>
      </c>
      <c r="G120" s="107" t="s">
        <v>433</v>
      </c>
      <c r="H120" s="50" t="s">
        <v>18</v>
      </c>
      <c r="I120" s="50"/>
      <c r="J120" s="50"/>
      <c r="K120" s="50"/>
      <c r="L120" s="50"/>
      <c r="M120" s="50"/>
      <c r="N120" s="50"/>
      <c r="O120" s="50"/>
      <c r="P120" s="50"/>
      <c r="Q120" s="50"/>
      <c r="R120" s="361"/>
      <c r="S120" s="379"/>
      <c r="T120" s="422"/>
      <c r="U120" s="1211"/>
      <c r="V120" s="1211"/>
      <c r="W120" s="60"/>
      <c r="X120" s="60"/>
      <c r="Y120" s="60"/>
      <c r="Z120" s="60"/>
      <c r="AA120" s="65"/>
      <c r="AB120" s="60"/>
      <c r="AC120" s="1234"/>
      <c r="AD120" s="59"/>
      <c r="AE120" s="60"/>
      <c r="AF120" s="60"/>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0"/>
      <c r="BW120" s="60"/>
      <c r="BX120" s="60"/>
      <c r="BY120" s="60"/>
      <c r="BZ120" s="60"/>
      <c r="CA120" s="60"/>
      <c r="CB120" s="60"/>
      <c r="CC120" s="60"/>
      <c r="CD120" s="60"/>
      <c r="CE120" s="60"/>
    </row>
    <row r="121" spans="1:83" s="101" customFormat="1" ht="5.25" hidden="1" customHeight="1">
      <c r="A121" s="119"/>
      <c r="B121" s="65"/>
      <c r="C121" s="65"/>
      <c r="D121" s="1220"/>
      <c r="E121" s="625"/>
      <c r="F121" s="625"/>
      <c r="G121" s="625"/>
      <c r="H121" s="625"/>
      <c r="I121" s="625"/>
      <c r="J121" s="625"/>
      <c r="K121" s="625"/>
      <c r="L121" s="625"/>
      <c r="M121" s="625"/>
      <c r="N121" s="625"/>
      <c r="O121" s="625"/>
      <c r="P121" s="625"/>
      <c r="Q121" s="626"/>
      <c r="R121" s="627"/>
      <c r="S121" s="371"/>
      <c r="T121" s="421" t="s">
        <v>431</v>
      </c>
      <c r="U121" s="1211">
        <v>1</v>
      </c>
      <c r="V121" s="1211" t="s">
        <v>432</v>
      </c>
      <c r="W121" s="65"/>
      <c r="X121" s="65"/>
      <c r="Y121" s="65"/>
      <c r="Z121" s="65"/>
      <c r="AA121" s="65"/>
      <c r="AB121" s="65"/>
      <c r="AC121" s="624"/>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65"/>
      <c r="BU121" s="65"/>
      <c r="BV121" s="65"/>
      <c r="BW121" s="65"/>
      <c r="BX121" s="65"/>
      <c r="BY121" s="65"/>
      <c r="BZ121" s="65"/>
      <c r="CA121" s="65"/>
      <c r="CB121" s="65"/>
      <c r="CC121" s="65"/>
      <c r="CD121" s="65"/>
      <c r="CE121" s="65"/>
    </row>
    <row r="122" spans="1:83" s="101" customFormat="1" ht="5.25" hidden="1" customHeight="1">
      <c r="A122" s="119"/>
      <c r="B122" s="65"/>
      <c r="C122" s="65"/>
      <c r="D122" s="1220"/>
      <c r="E122" s="371"/>
      <c r="F122" s="371"/>
      <c r="G122" s="371"/>
      <c r="H122" s="371"/>
      <c r="I122" s="371"/>
      <c r="J122" s="371"/>
      <c r="K122" s="371"/>
      <c r="L122" s="371"/>
      <c r="M122" s="371"/>
      <c r="N122" s="371"/>
      <c r="O122" s="371"/>
      <c r="P122" s="371"/>
      <c r="Q122" s="371"/>
      <c r="R122" s="371"/>
      <c r="S122" s="327"/>
      <c r="T122" s="422"/>
      <c r="U122" s="1211"/>
      <c r="V122" s="1211"/>
      <c r="W122" s="65"/>
      <c r="X122" s="65"/>
      <c r="Y122" s="65"/>
      <c r="Z122" s="65"/>
      <c r="AA122" s="65"/>
      <c r="AB122" s="65"/>
      <c r="AC122" s="624"/>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65"/>
      <c r="CC122" s="65"/>
      <c r="CD122" s="65"/>
      <c r="CE122" s="65"/>
    </row>
    <row r="123" spans="1:83" s="101" customFormat="1" ht="5.25" hidden="1" customHeight="1">
      <c r="A123" s="119"/>
      <c r="B123" s="65"/>
      <c r="C123" s="65"/>
      <c r="D123" s="1221"/>
      <c r="E123" s="628"/>
      <c r="F123" s="629"/>
      <c r="G123" s="629"/>
      <c r="H123" s="630"/>
      <c r="I123" s="630"/>
      <c r="J123" s="630"/>
      <c r="K123" s="630"/>
      <c r="L123" s="630"/>
      <c r="M123" s="630"/>
      <c r="N123" s="630"/>
      <c r="O123" s="630"/>
      <c r="P123" s="630"/>
      <c r="Q123" s="630"/>
      <c r="R123" s="559"/>
      <c r="S123" s="631"/>
      <c r="T123" s="422"/>
      <c r="U123" s="1211"/>
      <c r="V123" s="1211"/>
      <c r="W123" s="65"/>
      <c r="X123" s="65"/>
      <c r="Y123" s="65"/>
      <c r="Z123" s="65"/>
      <c r="AA123" s="65"/>
      <c r="AB123" s="65"/>
      <c r="AC123" s="624"/>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row>
    <row r="124" spans="1:83" ht="17.25" customHeight="1">
      <c r="D124" s="1027"/>
    </row>
    <row r="125" spans="1:83" s="1016" customFormat="1" ht="11.25" customHeight="1">
      <c r="A125" s="1016" t="s">
        <v>437</v>
      </c>
    </row>
    <row r="127" spans="1:83" ht="45" customHeight="1">
      <c r="A127" s="312"/>
      <c r="B127" s="60"/>
      <c r="C127" s="247"/>
      <c r="E127" s="1235"/>
      <c r="F127" s="1093" t="s">
        <v>119</v>
      </c>
      <c r="G127" s="1238" t="s">
        <v>18</v>
      </c>
      <c r="H127" s="64"/>
      <c r="I127" s="372" t="s">
        <v>119</v>
      </c>
      <c r="J127" s="120" t="s">
        <v>438</v>
      </c>
      <c r="K127" s="145" t="s">
        <v>439</v>
      </c>
      <c r="L127" s="1183" t="s">
        <v>439</v>
      </c>
      <c r="M127" s="1143"/>
      <c r="N127" s="145" t="s">
        <v>439</v>
      </c>
      <c r="O127" s="145" t="s">
        <v>439</v>
      </c>
      <c r="P127" s="145" t="s">
        <v>439</v>
      </c>
      <c r="Q127" s="373">
        <f>SUM(Q128:Q130)</f>
        <v>0</v>
      </c>
      <c r="R127" s="373">
        <f>IF(R124=0,0,(Q124/R124)*100)</f>
        <v>0</v>
      </c>
      <c r="S127" s="1155"/>
      <c r="T127" s="421" t="s">
        <v>431</v>
      </c>
    </row>
    <row r="128" spans="1:83" ht="11.25" customHeight="1">
      <c r="A128" s="312"/>
      <c r="B128" s="60"/>
      <c r="C128" s="247"/>
      <c r="E128" s="1236"/>
      <c r="F128" s="1093"/>
      <c r="G128" s="1238"/>
      <c r="H128" s="1082"/>
      <c r="I128" s="1214" t="s">
        <v>440</v>
      </c>
      <c r="J128" s="1232"/>
      <c r="K128" s="1233"/>
      <c r="L128" s="102"/>
      <c r="M128" s="374" t="s">
        <v>119</v>
      </c>
      <c r="N128" s="261"/>
      <c r="O128" s="227"/>
      <c r="P128" s="375"/>
      <c r="Q128" s="227"/>
      <c r="R128" s="376">
        <v>0</v>
      </c>
      <c r="S128" s="1155"/>
      <c r="T128" s="421"/>
    </row>
    <row r="129" spans="1:43" ht="11.25" customHeight="1">
      <c r="A129" s="312"/>
      <c r="B129" s="60"/>
      <c r="C129" s="247"/>
      <c r="E129" s="1236"/>
      <c r="F129" s="1093"/>
      <c r="G129" s="1238"/>
      <c r="H129" s="1082"/>
      <c r="I129" s="1214"/>
      <c r="J129" s="1232"/>
      <c r="K129" s="1216"/>
      <c r="L129" s="377"/>
      <c r="M129" s="378"/>
      <c r="N129" s="50" t="s">
        <v>441</v>
      </c>
      <c r="O129" s="50"/>
      <c r="P129" s="50"/>
      <c r="Q129" s="50"/>
      <c r="R129" s="361"/>
      <c r="S129" s="1155"/>
      <c r="T129" s="421"/>
    </row>
    <row r="130" spans="1:43" ht="11.25" customHeight="1">
      <c r="A130" s="312"/>
      <c r="B130" s="60"/>
      <c r="C130" s="247"/>
      <c r="E130" s="1237"/>
      <c r="F130" s="1093"/>
      <c r="G130" s="1239"/>
      <c r="H130" s="377" t="s">
        <v>18</v>
      </c>
      <c r="I130" s="378"/>
      <c r="J130" s="50" t="s">
        <v>442</v>
      </c>
      <c r="K130" s="50"/>
      <c r="L130" s="50"/>
      <c r="M130" s="50"/>
      <c r="N130" s="50"/>
      <c r="O130" s="50"/>
      <c r="P130" s="50"/>
      <c r="Q130" s="50"/>
      <c r="R130" s="361"/>
      <c r="S130" s="1155"/>
      <c r="T130" s="421"/>
    </row>
    <row r="135" spans="1:43" ht="11.25" customHeight="1">
      <c r="A135" s="312"/>
      <c r="B135" s="60"/>
      <c r="C135" s="247"/>
      <c r="E135" s="1022"/>
      <c r="F135" s="1022"/>
      <c r="G135" s="1022"/>
      <c r="H135" s="1082"/>
      <c r="I135" s="1214" t="s">
        <v>440</v>
      </c>
      <c r="J135" s="1232"/>
      <c r="K135" s="1233"/>
      <c r="L135" s="102"/>
      <c r="M135" s="374" t="s">
        <v>119</v>
      </c>
      <c r="N135" s="261"/>
      <c r="O135" s="227"/>
      <c r="P135" s="375"/>
      <c r="Q135" s="227"/>
      <c r="R135" s="376">
        <v>0</v>
      </c>
      <c r="T135" s="421"/>
    </row>
    <row r="136" spans="1:43" ht="11.25" customHeight="1">
      <c r="A136" s="312"/>
      <c r="B136" s="60"/>
      <c r="C136" s="247"/>
      <c r="E136" s="1022"/>
      <c r="F136" s="1022"/>
      <c r="G136" s="1022"/>
      <c r="H136" s="1082"/>
      <c r="I136" s="1214"/>
      <c r="J136" s="1232"/>
      <c r="K136" s="1216"/>
      <c r="L136" s="377"/>
      <c r="M136" s="378"/>
      <c r="N136" s="50" t="s">
        <v>441</v>
      </c>
      <c r="O136" s="50"/>
      <c r="P136" s="50"/>
      <c r="Q136" s="50"/>
      <c r="R136" s="361"/>
      <c r="T136" s="421"/>
    </row>
    <row r="138" spans="1:43" ht="11.25" customHeight="1">
      <c r="A138" s="312"/>
      <c r="B138" s="60"/>
      <c r="C138" s="247"/>
      <c r="E138" s="1028"/>
      <c r="H138" s="216"/>
      <c r="I138" s="1022"/>
      <c r="J138" s="1023"/>
      <c r="K138" s="1023"/>
      <c r="L138" s="102"/>
      <c r="M138" s="374" t="s">
        <v>119</v>
      </c>
      <c r="N138" s="261"/>
      <c r="O138" s="227"/>
      <c r="P138" s="375"/>
      <c r="Q138" s="227"/>
      <c r="R138" s="376">
        <v>0</v>
      </c>
      <c r="T138" s="421"/>
    </row>
    <row r="140" spans="1:43" s="1016" customFormat="1" ht="17.25" customHeight="1">
      <c r="A140" s="1016" t="s">
        <v>443</v>
      </c>
    </row>
    <row r="141" spans="1:43" ht="17.25" customHeight="1">
      <c r="G141" s="1029"/>
      <c r="H141" s="1029"/>
      <c r="I141" s="1029"/>
    </row>
    <row r="142" spans="1:43" s="33" customFormat="1" ht="17.25" customHeight="1">
      <c r="A142" s="191"/>
      <c r="C142" s="74"/>
      <c r="D142" s="1212"/>
      <c r="E142" s="1113"/>
      <c r="F142" s="1115"/>
      <c r="G142" s="1217"/>
      <c r="H142" s="1212"/>
      <c r="I142" s="1212">
        <v>1</v>
      </c>
      <c r="J142" s="1243"/>
      <c r="K142" s="1158" t="s">
        <v>59</v>
      </c>
      <c r="L142" s="1093"/>
      <c r="M142" s="1093" t="s">
        <v>119</v>
      </c>
      <c r="N142" s="1241" t="str">
        <f>IF(Z142="","",INDEX(TERRITORY_MR_LIST,MATCH(Z142,TERRITORY_LIST_ID,0)))</f>
        <v/>
      </c>
      <c r="O142" s="1158" t="s">
        <v>59</v>
      </c>
      <c r="P142" s="1093"/>
      <c r="Q142" s="1093" t="s">
        <v>119</v>
      </c>
      <c r="R142" s="1216" t="s">
        <v>18</v>
      </c>
      <c r="S142" s="1092" t="s">
        <v>59</v>
      </c>
      <c r="T142" s="41"/>
      <c r="U142" s="41" t="s">
        <v>119</v>
      </c>
      <c r="V142" s="261" t="s">
        <v>18</v>
      </c>
      <c r="W142" s="35"/>
      <c r="Y142" s="756"/>
      <c r="Z142" s="756"/>
      <c r="AA142" s="756"/>
      <c r="AB142" s="756"/>
      <c r="AC142" s="756"/>
      <c r="AD142" s="756"/>
      <c r="AE142" s="756"/>
      <c r="AF142" s="756"/>
      <c r="AG142" s="756"/>
      <c r="AH142" s="756"/>
      <c r="AI142" s="756"/>
      <c r="AJ142" s="756"/>
      <c r="AK142" s="756"/>
      <c r="AL142" s="141"/>
      <c r="AM142" s="141"/>
      <c r="AN142" s="756"/>
      <c r="AO142" s="756"/>
      <c r="AP142" s="756"/>
      <c r="AQ142" s="756"/>
    </row>
    <row r="143" spans="1:43" s="33" customFormat="1" ht="17.25" customHeight="1">
      <c r="A143" s="191"/>
      <c r="D143" s="1212"/>
      <c r="E143" s="1113"/>
      <c r="F143" s="1116"/>
      <c r="G143" s="1217"/>
      <c r="H143" s="1212"/>
      <c r="I143" s="1212"/>
      <c r="J143" s="1243"/>
      <c r="K143" s="1159"/>
      <c r="L143" s="1093"/>
      <c r="M143" s="1093"/>
      <c r="N143" s="1241"/>
      <c r="O143" s="1159"/>
      <c r="P143" s="1093"/>
      <c r="Q143" s="1093"/>
      <c r="R143" s="1216"/>
      <c r="S143" s="1092"/>
      <c r="T143" s="188"/>
      <c r="U143" s="189"/>
      <c r="V143" s="189" t="s">
        <v>444</v>
      </c>
      <c r="W143" s="190"/>
      <c r="Y143" s="15"/>
      <c r="Z143" s="15"/>
      <c r="AA143" s="15"/>
      <c r="AB143" s="15"/>
      <c r="AC143" s="15"/>
      <c r="AD143" s="15"/>
      <c r="AE143" s="15"/>
      <c r="AF143" s="15"/>
      <c r="AG143" s="15"/>
      <c r="AH143" s="15"/>
      <c r="AI143" s="15"/>
      <c r="AJ143" s="15"/>
      <c r="AK143" s="15"/>
    </row>
    <row r="144" spans="1:43" s="33" customFormat="1" ht="17.25" customHeight="1">
      <c r="A144" s="191"/>
      <c r="D144" s="1094"/>
      <c r="E144" s="1114"/>
      <c r="F144" s="1116"/>
      <c r="G144" s="1218"/>
      <c r="H144" s="1094"/>
      <c r="I144" s="1094"/>
      <c r="J144" s="1244"/>
      <c r="K144" s="1159"/>
      <c r="L144" s="1094"/>
      <c r="M144" s="1094"/>
      <c r="N144" s="1242"/>
      <c r="O144" s="1098"/>
      <c r="P144" s="188"/>
      <c r="Q144" s="189"/>
      <c r="R144" s="189" t="s">
        <v>445</v>
      </c>
      <c r="S144" s="1030"/>
      <c r="T144" s="1030"/>
      <c r="U144" s="1030"/>
      <c r="V144" s="1030"/>
      <c r="W144" s="190"/>
      <c r="Y144" s="15"/>
      <c r="Z144" s="15"/>
      <c r="AA144" s="15"/>
      <c r="AB144" s="15"/>
      <c r="AC144" s="15"/>
      <c r="AD144" s="15"/>
      <c r="AE144" s="15"/>
      <c r="AF144" s="15"/>
      <c r="AG144" s="15"/>
      <c r="AH144" s="15"/>
      <c r="AI144" s="15"/>
      <c r="AJ144" s="15"/>
      <c r="AK144" s="15"/>
    </row>
    <row r="145" spans="1:43" s="33" customFormat="1" ht="17.25" customHeight="1">
      <c r="A145" s="191"/>
      <c r="D145" s="1094"/>
      <c r="E145" s="1114"/>
      <c r="F145" s="1116"/>
      <c r="G145" s="1218"/>
      <c r="H145" s="1094"/>
      <c r="I145" s="1094"/>
      <c r="J145" s="1244"/>
      <c r="K145" s="1098"/>
      <c r="L145" s="188"/>
      <c r="M145" s="189"/>
      <c r="N145" s="189" t="s">
        <v>446</v>
      </c>
      <c r="O145" s="189"/>
      <c r="P145" s="189"/>
      <c r="Q145" s="189"/>
      <c r="R145" s="189"/>
      <c r="S145" s="1030"/>
      <c r="T145" s="1030"/>
      <c r="U145" s="1030"/>
      <c r="V145" s="1030"/>
      <c r="W145" s="190"/>
      <c r="Y145" s="15"/>
      <c r="Z145" s="15"/>
      <c r="AA145" s="15"/>
      <c r="AB145" s="15"/>
      <c r="AC145" s="15"/>
      <c r="AD145" s="15"/>
      <c r="AE145" s="15"/>
      <c r="AF145" s="15"/>
      <c r="AG145" s="15"/>
      <c r="AH145" s="15"/>
      <c r="AI145" s="15"/>
      <c r="AJ145" s="15"/>
      <c r="AK145" s="15"/>
    </row>
    <row r="146" spans="1:43" s="33" customFormat="1" ht="17.25" customHeight="1">
      <c r="A146" s="191"/>
      <c r="D146" s="1094"/>
      <c r="E146" s="1114"/>
      <c r="F146" s="1117"/>
      <c r="G146" s="1218"/>
      <c r="H146" s="188"/>
      <c r="I146" s="189"/>
      <c r="J146" s="189" t="s">
        <v>447</v>
      </c>
      <c r="K146" s="189"/>
      <c r="L146" s="189"/>
      <c r="M146" s="189"/>
      <c r="N146" s="189"/>
      <c r="O146" s="189"/>
      <c r="P146" s="189"/>
      <c r="Q146" s="189"/>
      <c r="R146" s="189"/>
      <c r="S146" s="1030"/>
      <c r="T146" s="1030"/>
      <c r="U146" s="1030"/>
      <c r="V146" s="1030"/>
      <c r="W146" s="190"/>
      <c r="Y146" s="15"/>
      <c r="Z146" s="15"/>
      <c r="AA146" s="15"/>
      <c r="AB146" s="15"/>
      <c r="AC146" s="15"/>
      <c r="AD146" s="15"/>
      <c r="AE146" s="15"/>
      <c r="AF146" s="15"/>
      <c r="AG146" s="15"/>
      <c r="AH146" s="15"/>
      <c r="AI146" s="15"/>
      <c r="AJ146" s="15"/>
      <c r="AK146" s="15"/>
    </row>
    <row r="147" spans="1:43" ht="17.25" customHeight="1">
      <c r="G147" s="1029"/>
      <c r="H147" s="1029"/>
      <c r="I147" s="1029"/>
    </row>
    <row r="148" spans="1:43" s="33" customFormat="1" ht="17.25" customHeight="1">
      <c r="A148" s="191"/>
      <c r="C148" s="74"/>
      <c r="D148" s="1022"/>
      <c r="E148" s="1031"/>
      <c r="F148" s="1009"/>
      <c r="G148" s="1032"/>
      <c r="H148" s="1212"/>
      <c r="I148" s="1212">
        <v>1</v>
      </c>
      <c r="J148" s="1243"/>
      <c r="K148" s="1158" t="s">
        <v>59</v>
      </c>
      <c r="L148" s="1093"/>
      <c r="M148" s="1093" t="s">
        <v>119</v>
      </c>
      <c r="N148" s="1241" t="str">
        <f>IF(Z148="","",INDEX(TERRITORY_MR_LIST,MATCH(Z148,TERRITORY_LIST_ID,0)))</f>
        <v/>
      </c>
      <c r="O148" s="1158" t="s">
        <v>59</v>
      </c>
      <c r="P148" s="1093"/>
      <c r="Q148" s="1093" t="s">
        <v>119</v>
      </c>
      <c r="R148" s="1216" t="s">
        <v>18</v>
      </c>
      <c r="S148" s="1092" t="s">
        <v>59</v>
      </c>
      <c r="T148" s="41"/>
      <c r="U148" s="41" t="s">
        <v>119</v>
      </c>
      <c r="V148" s="261" t="s">
        <v>18</v>
      </c>
      <c r="W148" s="35"/>
      <c r="Y148" s="756"/>
      <c r="Z148" s="756"/>
      <c r="AA148" s="756"/>
      <c r="AB148" s="756"/>
      <c r="AC148" s="756"/>
      <c r="AD148" s="756"/>
      <c r="AE148" s="756"/>
      <c r="AF148" s="756"/>
      <c r="AG148" s="756"/>
      <c r="AH148" s="756"/>
      <c r="AI148" s="756"/>
      <c r="AJ148" s="756"/>
      <c r="AK148" s="756"/>
      <c r="AL148" s="141"/>
      <c r="AM148" s="141"/>
      <c r="AN148" s="756"/>
      <c r="AO148" s="756"/>
      <c r="AP148" s="756"/>
      <c r="AQ148" s="756"/>
    </row>
    <row r="149" spans="1:43" s="33" customFormat="1" ht="17.25" customHeight="1">
      <c r="A149" s="191"/>
      <c r="D149" s="1022"/>
      <c r="E149" s="1031"/>
      <c r="F149" s="1009"/>
      <c r="G149" s="1032"/>
      <c r="H149" s="1212"/>
      <c r="I149" s="1212"/>
      <c r="J149" s="1243"/>
      <c r="K149" s="1159"/>
      <c r="L149" s="1093"/>
      <c r="M149" s="1093"/>
      <c r="N149" s="1241"/>
      <c r="O149" s="1159"/>
      <c r="P149" s="1093"/>
      <c r="Q149" s="1093"/>
      <c r="R149" s="1216"/>
      <c r="S149" s="1092"/>
      <c r="T149" s="188"/>
      <c r="U149" s="189"/>
      <c r="V149" s="189" t="s">
        <v>444</v>
      </c>
      <c r="W149" s="190"/>
      <c r="Y149" s="15"/>
      <c r="Z149" s="15"/>
      <c r="AA149" s="15"/>
      <c r="AB149" s="15"/>
      <c r="AC149" s="15"/>
      <c r="AD149" s="15"/>
      <c r="AE149" s="15"/>
      <c r="AF149" s="15"/>
      <c r="AG149" s="15"/>
      <c r="AH149" s="15"/>
      <c r="AI149" s="15"/>
      <c r="AJ149" s="15"/>
      <c r="AK149" s="15"/>
    </row>
    <row r="150" spans="1:43" s="33" customFormat="1" ht="17.25" customHeight="1">
      <c r="A150" s="191"/>
      <c r="D150" s="1022"/>
      <c r="E150" s="1031"/>
      <c r="F150" s="1009"/>
      <c r="G150" s="1032"/>
      <c r="H150" s="1094"/>
      <c r="I150" s="1094"/>
      <c r="J150" s="1244"/>
      <c r="K150" s="1159"/>
      <c r="L150" s="1094"/>
      <c r="M150" s="1094"/>
      <c r="N150" s="1242"/>
      <c r="O150" s="1098"/>
      <c r="P150" s="188"/>
      <c r="Q150" s="189"/>
      <c r="R150" s="189" t="s">
        <v>445</v>
      </c>
      <c r="S150" s="1030"/>
      <c r="T150" s="1030"/>
      <c r="U150" s="1030"/>
      <c r="V150" s="1030"/>
      <c r="W150" s="190"/>
      <c r="Y150" s="15"/>
      <c r="Z150" s="15"/>
      <c r="AA150" s="15"/>
      <c r="AB150" s="15"/>
      <c r="AC150" s="15"/>
      <c r="AD150" s="15"/>
      <c r="AE150" s="15"/>
      <c r="AF150" s="15"/>
      <c r="AG150" s="15"/>
      <c r="AH150" s="15"/>
      <c r="AI150" s="15"/>
      <c r="AJ150" s="15"/>
      <c r="AK150" s="15"/>
    </row>
    <row r="151" spans="1:43" s="33" customFormat="1" ht="17.25" customHeight="1">
      <c r="A151" s="191"/>
      <c r="D151" s="1022"/>
      <c r="E151" s="1031"/>
      <c r="F151" s="1009"/>
      <c r="G151" s="1032"/>
      <c r="H151" s="1094"/>
      <c r="I151" s="1094"/>
      <c r="J151" s="1244"/>
      <c r="K151" s="1098"/>
      <c r="L151" s="188"/>
      <c r="M151" s="189"/>
      <c r="N151" s="189" t="s">
        <v>446</v>
      </c>
      <c r="O151" s="189"/>
      <c r="P151" s="189"/>
      <c r="Q151" s="189"/>
      <c r="R151" s="189"/>
      <c r="S151" s="1030"/>
      <c r="T151" s="1030"/>
      <c r="U151" s="1030"/>
      <c r="V151" s="1030"/>
      <c r="W151" s="190"/>
      <c r="Y151" s="15"/>
      <c r="Z151" s="15"/>
      <c r="AA151" s="15"/>
      <c r="AB151" s="15"/>
      <c r="AC151" s="15"/>
      <c r="AD151" s="15"/>
      <c r="AE151" s="15"/>
      <c r="AF151" s="15"/>
      <c r="AG151" s="15"/>
      <c r="AH151" s="15"/>
      <c r="AI151" s="15"/>
      <c r="AJ151" s="15"/>
      <c r="AK151" s="15"/>
    </row>
    <row r="152" spans="1:43" ht="17.25" customHeight="1">
      <c r="G152" s="1029"/>
      <c r="H152" s="1029"/>
      <c r="I152" s="1029"/>
    </row>
    <row r="153" spans="1:43" s="33" customFormat="1" ht="17.25" customHeight="1">
      <c r="A153" s="191"/>
      <c r="C153" s="74"/>
      <c r="D153" s="1022"/>
      <c r="E153" s="1031"/>
      <c r="F153" s="1009"/>
      <c r="G153" s="1032"/>
      <c r="H153" s="1022"/>
      <c r="I153" s="1022"/>
      <c r="J153" s="1033"/>
      <c r="K153" s="998"/>
      <c r="L153" s="1093"/>
      <c r="M153" s="1093" t="s">
        <v>119</v>
      </c>
      <c r="N153" s="1241" t="str">
        <f>IF(Z153="","",INDEX(TERRITORY_MR_LIST,MATCH(Z153,TERRITORY_LIST_ID,0)))</f>
        <v/>
      </c>
      <c r="O153" s="1158" t="s">
        <v>59</v>
      </c>
      <c r="P153" s="1093"/>
      <c r="Q153" s="1093" t="s">
        <v>119</v>
      </c>
      <c r="R153" s="1216" t="s">
        <v>18</v>
      </c>
      <c r="S153" s="1092" t="s">
        <v>59</v>
      </c>
      <c r="T153" s="41"/>
      <c r="U153" s="41" t="s">
        <v>119</v>
      </c>
      <c r="V153" s="261" t="s">
        <v>18</v>
      </c>
      <c r="W153" s="35"/>
      <c r="Y153" s="756"/>
      <c r="Z153" s="756"/>
      <c r="AA153" s="756"/>
      <c r="AB153" s="756"/>
      <c r="AC153" s="756"/>
      <c r="AD153" s="756"/>
      <c r="AE153" s="756"/>
      <c r="AF153" s="756"/>
      <c r="AG153" s="756"/>
      <c r="AH153" s="756"/>
      <c r="AI153" s="756"/>
      <c r="AJ153" s="756"/>
      <c r="AK153" s="756"/>
      <c r="AL153" s="141"/>
      <c r="AM153" s="141"/>
      <c r="AN153" s="756"/>
      <c r="AO153" s="756"/>
      <c r="AP153" s="756"/>
      <c r="AQ153" s="756"/>
    </row>
    <row r="154" spans="1:43" s="33" customFormat="1" ht="17.25" customHeight="1">
      <c r="A154" s="191"/>
      <c r="D154" s="1022"/>
      <c r="E154" s="1031"/>
      <c r="F154" s="1009"/>
      <c r="G154" s="1032"/>
      <c r="H154" s="1022"/>
      <c r="I154" s="1022"/>
      <c r="J154" s="1033"/>
      <c r="K154" s="998"/>
      <c r="L154" s="1093"/>
      <c r="M154" s="1093"/>
      <c r="N154" s="1241"/>
      <c r="O154" s="1159"/>
      <c r="P154" s="1093"/>
      <c r="Q154" s="1093"/>
      <c r="R154" s="1216"/>
      <c r="S154" s="1092"/>
      <c r="T154" s="188"/>
      <c r="U154" s="189"/>
      <c r="V154" s="189" t="s">
        <v>444</v>
      </c>
      <c r="W154" s="190"/>
      <c r="Y154" s="15"/>
      <c r="Z154" s="15"/>
      <c r="AA154" s="15"/>
      <c r="AB154" s="15"/>
      <c r="AC154" s="15"/>
      <c r="AD154" s="15"/>
      <c r="AE154" s="15"/>
      <c r="AF154" s="15"/>
      <c r="AG154" s="15"/>
      <c r="AH154" s="15"/>
      <c r="AI154" s="15"/>
      <c r="AJ154" s="15"/>
      <c r="AK154" s="15"/>
    </row>
    <row r="155" spans="1:43" s="33" customFormat="1" ht="17.25" customHeight="1">
      <c r="A155" s="191"/>
      <c r="D155" s="1022"/>
      <c r="E155" s="1031"/>
      <c r="F155" s="1009"/>
      <c r="G155" s="1032"/>
      <c r="H155" s="1022"/>
      <c r="I155" s="1022"/>
      <c r="J155" s="1033"/>
      <c r="K155" s="998"/>
      <c r="L155" s="1094"/>
      <c r="M155" s="1094"/>
      <c r="N155" s="1242"/>
      <c r="O155" s="1098"/>
      <c r="P155" s="188"/>
      <c r="Q155" s="189"/>
      <c r="R155" s="189" t="s">
        <v>445</v>
      </c>
      <c r="S155" s="1030"/>
      <c r="T155" s="1030"/>
      <c r="U155" s="1030"/>
      <c r="V155" s="1030"/>
      <c r="W155" s="190"/>
      <c r="Y155" s="15"/>
      <c r="Z155" s="15"/>
      <c r="AA155" s="15"/>
      <c r="AB155" s="15"/>
      <c r="AC155" s="15"/>
      <c r="AD155" s="15"/>
      <c r="AE155" s="15"/>
      <c r="AF155" s="15"/>
      <c r="AG155" s="15"/>
      <c r="AH155" s="15"/>
      <c r="AI155" s="15"/>
      <c r="AJ155" s="15"/>
      <c r="AK155" s="15"/>
    </row>
    <row r="156" spans="1:43" ht="17.25" customHeight="1">
      <c r="G156" s="1029"/>
      <c r="H156" s="1029"/>
      <c r="I156" s="1029"/>
    </row>
    <row r="157" spans="1:43" s="33" customFormat="1" ht="17.25" customHeight="1">
      <c r="A157" s="191"/>
      <c r="C157" s="74"/>
      <c r="D157" s="1022"/>
      <c r="E157" s="1031"/>
      <c r="F157" s="1009"/>
      <c r="G157" s="1032"/>
      <c r="H157" s="1022"/>
      <c r="I157" s="1022"/>
      <c r="J157" s="1033"/>
      <c r="K157" s="998"/>
      <c r="L157" s="901"/>
      <c r="M157" s="901"/>
      <c r="N157" s="1034"/>
      <c r="O157" s="1010"/>
      <c r="P157" s="1093"/>
      <c r="Q157" s="1093" t="s">
        <v>119</v>
      </c>
      <c r="R157" s="1216" t="s">
        <v>18</v>
      </c>
      <c r="S157" s="1092" t="s">
        <v>59</v>
      </c>
      <c r="T157" s="41"/>
      <c r="U157" s="41" t="s">
        <v>119</v>
      </c>
      <c r="V157" s="261" t="s">
        <v>18</v>
      </c>
      <c r="W157" s="35"/>
      <c r="Y157" s="756"/>
      <c r="Z157" s="756"/>
      <c r="AA157" s="756"/>
      <c r="AB157" s="756"/>
      <c r="AC157" s="756"/>
      <c r="AD157" s="756"/>
      <c r="AE157" s="756"/>
      <c r="AF157" s="756"/>
      <c r="AG157" s="756"/>
      <c r="AH157" s="756"/>
      <c r="AI157" s="756"/>
      <c r="AJ157" s="756"/>
      <c r="AK157" s="756"/>
      <c r="AL157" s="141"/>
      <c r="AM157" s="141"/>
      <c r="AN157" s="756"/>
      <c r="AO157" s="756"/>
      <c r="AP157" s="756"/>
      <c r="AQ157" s="756"/>
    </row>
    <row r="158" spans="1:43" s="33" customFormat="1" ht="17.25" customHeight="1">
      <c r="A158" s="191"/>
      <c r="D158" s="1022"/>
      <c r="E158" s="1031"/>
      <c r="F158" s="1009"/>
      <c r="G158" s="1032"/>
      <c r="H158" s="1022"/>
      <c r="I158" s="1022"/>
      <c r="J158" s="1033"/>
      <c r="K158" s="998"/>
      <c r="L158" s="901"/>
      <c r="M158" s="901"/>
      <c r="N158" s="1034"/>
      <c r="O158" s="1010"/>
      <c r="P158" s="1093"/>
      <c r="Q158" s="1093"/>
      <c r="R158" s="1216"/>
      <c r="S158" s="1092"/>
      <c r="T158" s="188"/>
      <c r="U158" s="189"/>
      <c r="V158" s="189" t="s">
        <v>444</v>
      </c>
      <c r="W158" s="190"/>
      <c r="Y158" s="15"/>
      <c r="Z158" s="15"/>
      <c r="AA158" s="15"/>
      <c r="AB158" s="15"/>
      <c r="AC158" s="15"/>
      <c r="AD158" s="15"/>
      <c r="AE158" s="15"/>
      <c r="AF158" s="15"/>
      <c r="AG158" s="15"/>
      <c r="AH158" s="15"/>
      <c r="AI158" s="15"/>
      <c r="AJ158" s="15"/>
      <c r="AK158" s="15"/>
    </row>
    <row r="159" spans="1:43" ht="17.25" customHeight="1">
      <c r="G159" s="1029"/>
      <c r="H159" s="1029"/>
      <c r="I159" s="1029"/>
    </row>
    <row r="160" spans="1:43" s="33" customFormat="1" ht="17.25" customHeight="1">
      <c r="A160" s="191"/>
      <c r="C160" s="74"/>
      <c r="D160" s="1022"/>
      <c r="E160" s="1031"/>
      <c r="F160" s="1009"/>
      <c r="G160" s="1032"/>
      <c r="H160" s="901"/>
      <c r="I160" s="901"/>
      <c r="J160" s="995"/>
      <c r="K160" s="1032"/>
      <c r="L160" s="901"/>
      <c r="M160" s="901"/>
      <c r="N160" s="1032"/>
      <c r="O160" s="1032"/>
      <c r="P160" s="901"/>
      <c r="Q160" s="901"/>
      <c r="R160" s="996"/>
      <c r="S160" s="1032"/>
      <c r="T160" s="41"/>
      <c r="U160" s="41" t="s">
        <v>119</v>
      </c>
      <c r="V160" s="261" t="s">
        <v>18</v>
      </c>
      <c r="W160" s="35"/>
      <c r="Y160" s="756"/>
      <c r="Z160" s="756"/>
      <c r="AA160" s="756"/>
      <c r="AB160" s="756"/>
      <c r="AC160" s="756"/>
      <c r="AD160" s="756"/>
      <c r="AE160" s="756"/>
      <c r="AF160" s="756"/>
      <c r="AG160" s="756"/>
      <c r="AH160" s="756"/>
      <c r="AI160" s="756"/>
      <c r="AJ160" s="756"/>
      <c r="AK160" s="756"/>
      <c r="AL160" s="141"/>
      <c r="AM160" s="141"/>
      <c r="AN160" s="756"/>
      <c r="AO160" s="756"/>
      <c r="AP160" s="756"/>
      <c r="AQ160" s="756"/>
    </row>
    <row r="162" spans="1:43" s="1016" customFormat="1" ht="17.25" customHeight="1">
      <c r="A162" s="1016" t="s">
        <v>448</v>
      </c>
    </row>
    <row r="163" spans="1:43" ht="17.25" customHeight="1">
      <c r="G163" s="1029"/>
      <c r="H163" s="1029"/>
      <c r="I163" s="1029"/>
    </row>
    <row r="164" spans="1:43" s="33" customFormat="1" ht="17.25" customHeight="1">
      <c r="A164" s="191"/>
      <c r="C164" s="74"/>
      <c r="D164" s="1212"/>
      <c r="E164" s="1113"/>
      <c r="F164" s="1115"/>
      <c r="G164" s="1217"/>
      <c r="H164" s="1212"/>
      <c r="I164" s="1212">
        <v>1</v>
      </c>
      <c r="J164" s="1243"/>
      <c r="K164" s="1158" t="s">
        <v>59</v>
      </c>
      <c r="L164" s="1093"/>
      <c r="M164" s="1093" t="s">
        <v>119</v>
      </c>
      <c r="N164" s="1241" t="str">
        <f>IF(Z164="","",INDEX(TERRITORY_MR_LIST,MATCH(Z164,TERRITORY_LIST_ID,0)))</f>
        <v/>
      </c>
      <c r="O164" s="1158" t="s">
        <v>59</v>
      </c>
      <c r="P164" s="1093"/>
      <c r="Q164" s="1093" t="s">
        <v>119</v>
      </c>
      <c r="R164" s="1216" t="s">
        <v>18</v>
      </c>
      <c r="S164" s="1273" t="s">
        <v>57</v>
      </c>
      <c r="T164" s="840"/>
      <c r="U164" s="840" t="s">
        <v>119</v>
      </c>
      <c r="V164" s="833"/>
      <c r="W164" s="1243"/>
      <c r="Y164" s="756"/>
      <c r="Z164" s="756"/>
      <c r="AA164" s="756"/>
      <c r="AB164" s="756"/>
      <c r="AC164" s="756"/>
      <c r="AD164" s="756"/>
      <c r="AE164" s="756"/>
      <c r="AF164" s="756"/>
      <c r="AG164" s="756"/>
      <c r="AH164" s="756"/>
      <c r="AI164" s="756"/>
      <c r="AJ164" s="756"/>
      <c r="AK164" s="756"/>
      <c r="AL164" s="141"/>
      <c r="AM164" s="141"/>
      <c r="AN164" s="756"/>
      <c r="AO164" s="756"/>
      <c r="AP164" s="756"/>
      <c r="AQ164" s="756"/>
    </row>
    <row r="165" spans="1:43" s="33" customFormat="1" ht="17.25" customHeight="1">
      <c r="A165" s="191"/>
      <c r="D165" s="1212"/>
      <c r="E165" s="1113"/>
      <c r="F165" s="1116"/>
      <c r="G165" s="1217"/>
      <c r="H165" s="1212"/>
      <c r="I165" s="1212"/>
      <c r="J165" s="1243"/>
      <c r="K165" s="1159"/>
      <c r="L165" s="1093"/>
      <c r="M165" s="1093"/>
      <c r="N165" s="1241"/>
      <c r="O165" s="1159"/>
      <c r="P165" s="1093"/>
      <c r="Q165" s="1093"/>
      <c r="R165" s="1216"/>
      <c r="S165" s="1273"/>
      <c r="T165" s="834"/>
      <c r="U165" s="835"/>
      <c r="V165" s="835"/>
      <c r="W165" s="1243"/>
      <c r="Y165" s="15"/>
      <c r="Z165" s="15"/>
      <c r="AA165" s="15"/>
      <c r="AB165" s="15"/>
      <c r="AC165" s="15"/>
      <c r="AD165" s="15"/>
      <c r="AE165" s="15"/>
      <c r="AF165" s="15"/>
      <c r="AG165" s="15"/>
      <c r="AH165" s="15"/>
      <c r="AI165" s="15"/>
      <c r="AJ165" s="15"/>
      <c r="AK165" s="15"/>
    </row>
    <row r="166" spans="1:43" s="33" customFormat="1" ht="17.25" customHeight="1">
      <c r="A166" s="191"/>
      <c r="D166" s="1094"/>
      <c r="E166" s="1114"/>
      <c r="F166" s="1116"/>
      <c r="G166" s="1218"/>
      <c r="H166" s="1094"/>
      <c r="I166" s="1094"/>
      <c r="J166" s="1244"/>
      <c r="K166" s="1159"/>
      <c r="L166" s="1094"/>
      <c r="M166" s="1094"/>
      <c r="N166" s="1242"/>
      <c r="O166" s="1098"/>
      <c r="P166" s="188"/>
      <c r="Q166" s="189"/>
      <c r="R166" s="189" t="s">
        <v>445</v>
      </c>
      <c r="S166" s="1030"/>
      <c r="T166" s="1030"/>
      <c r="U166" s="1030"/>
      <c r="V166" s="1030"/>
      <c r="W166" s="832"/>
      <c r="Y166" s="15"/>
      <c r="Z166" s="15"/>
      <c r="AA166" s="15"/>
      <c r="AB166" s="15"/>
      <c r="AC166" s="15"/>
      <c r="AD166" s="15"/>
      <c r="AE166" s="15"/>
      <c r="AF166" s="15"/>
      <c r="AG166" s="15"/>
      <c r="AH166" s="15"/>
      <c r="AI166" s="15"/>
      <c r="AJ166" s="15"/>
      <c r="AK166" s="15"/>
    </row>
    <row r="167" spans="1:43" s="33" customFormat="1" ht="17.25" customHeight="1">
      <c r="A167" s="191"/>
      <c r="D167" s="1094"/>
      <c r="E167" s="1114"/>
      <c r="F167" s="1116"/>
      <c r="G167" s="1218"/>
      <c r="H167" s="1094"/>
      <c r="I167" s="1094"/>
      <c r="J167" s="1244"/>
      <c r="K167" s="1098"/>
      <c r="L167" s="188"/>
      <c r="M167" s="189"/>
      <c r="N167" s="189" t="s">
        <v>446</v>
      </c>
      <c r="O167" s="189"/>
      <c r="P167" s="189"/>
      <c r="Q167" s="189"/>
      <c r="R167" s="189"/>
      <c r="S167" s="1030"/>
      <c r="T167" s="1030"/>
      <c r="U167" s="1030"/>
      <c r="V167" s="1030"/>
      <c r="W167" s="190"/>
      <c r="Y167" s="15"/>
      <c r="Z167" s="15"/>
      <c r="AA167" s="15"/>
      <c r="AB167" s="15"/>
      <c r="AC167" s="15"/>
      <c r="AD167" s="15"/>
      <c r="AE167" s="15"/>
      <c r="AF167" s="15"/>
      <c r="AG167" s="15"/>
      <c r="AH167" s="15"/>
      <c r="AI167" s="15"/>
      <c r="AJ167" s="15"/>
      <c r="AK167" s="15"/>
    </row>
    <row r="168" spans="1:43" s="33" customFormat="1" ht="17.25" customHeight="1">
      <c r="A168" s="191"/>
      <c r="D168" s="1094"/>
      <c r="E168" s="1114"/>
      <c r="F168" s="1117"/>
      <c r="G168" s="1218"/>
      <c r="H168" s="188"/>
      <c r="I168" s="189"/>
      <c r="J168" s="189" t="s">
        <v>447</v>
      </c>
      <c r="K168" s="189"/>
      <c r="L168" s="189"/>
      <c r="M168" s="189"/>
      <c r="N168" s="189"/>
      <c r="O168" s="189"/>
      <c r="P168" s="189"/>
      <c r="Q168" s="189"/>
      <c r="R168" s="189"/>
      <c r="S168" s="1030"/>
      <c r="T168" s="1030"/>
      <c r="U168" s="1030"/>
      <c r="V168" s="1030"/>
      <c r="W168" s="190"/>
      <c r="Y168" s="15"/>
      <c r="Z168" s="15"/>
      <c r="AA168" s="15"/>
      <c r="AB168" s="15"/>
      <c r="AC168" s="15"/>
      <c r="AD168" s="15"/>
      <c r="AE168" s="15"/>
      <c r="AF168" s="15"/>
      <c r="AG168" s="15"/>
      <c r="AH168" s="15"/>
      <c r="AI168" s="15"/>
      <c r="AJ168" s="15"/>
      <c r="AK168" s="15"/>
    </row>
    <row r="169" spans="1:43" ht="17.25" customHeight="1"/>
    <row r="170" spans="1:43" s="33" customFormat="1" ht="17.25" customHeight="1">
      <c r="A170" s="191"/>
      <c r="C170" s="74"/>
      <c r="D170" s="1022"/>
      <c r="E170" s="1031"/>
      <c r="F170" s="1009"/>
      <c r="G170" s="1032"/>
      <c r="H170" s="1212"/>
      <c r="I170" s="1212">
        <v>1</v>
      </c>
      <c r="J170" s="1243"/>
      <c r="K170" s="1158" t="s">
        <v>59</v>
      </c>
      <c r="L170" s="1093"/>
      <c r="M170" s="1093" t="s">
        <v>119</v>
      </c>
      <c r="N170" s="1241" t="str">
        <f>IF(Z170="","",INDEX(TERRITORY_MR_LIST,MATCH(Z170,TERRITORY_LIST_ID,0)))</f>
        <v/>
      </c>
      <c r="O170" s="1158" t="s">
        <v>59</v>
      </c>
      <c r="P170" s="1093"/>
      <c r="Q170" s="1093" t="s">
        <v>119</v>
      </c>
      <c r="R170" s="1216" t="s">
        <v>18</v>
      </c>
      <c r="S170" s="1273" t="s">
        <v>57</v>
      </c>
      <c r="T170" s="840"/>
      <c r="U170" s="840" t="s">
        <v>119</v>
      </c>
      <c r="V170" s="833"/>
      <c r="W170" s="1243"/>
      <c r="Y170" s="756"/>
      <c r="Z170" s="756"/>
      <c r="AA170" s="756"/>
      <c r="AB170" s="756"/>
      <c r="AC170" s="756"/>
      <c r="AD170" s="756"/>
      <c r="AE170" s="756"/>
      <c r="AF170" s="756"/>
      <c r="AG170" s="756"/>
      <c r="AH170" s="756"/>
      <c r="AI170" s="756"/>
      <c r="AJ170" s="756"/>
      <c r="AK170" s="756"/>
      <c r="AL170" s="141"/>
      <c r="AM170" s="141"/>
      <c r="AN170" s="756"/>
      <c r="AO170" s="756"/>
      <c r="AP170" s="756"/>
      <c r="AQ170" s="756"/>
    </row>
    <row r="171" spans="1:43" s="33" customFormat="1" ht="17.25" customHeight="1">
      <c r="A171" s="191"/>
      <c r="D171" s="1022"/>
      <c r="E171" s="1031"/>
      <c r="F171" s="1009"/>
      <c r="G171" s="1032"/>
      <c r="H171" s="1212"/>
      <c r="I171" s="1212"/>
      <c r="J171" s="1243"/>
      <c r="K171" s="1159"/>
      <c r="L171" s="1093"/>
      <c r="M171" s="1093"/>
      <c r="N171" s="1241"/>
      <c r="O171" s="1159"/>
      <c r="P171" s="1093"/>
      <c r="Q171" s="1093"/>
      <c r="R171" s="1216"/>
      <c r="S171" s="1273"/>
      <c r="T171" s="834"/>
      <c r="U171" s="835"/>
      <c r="V171" s="835"/>
      <c r="W171" s="1243"/>
      <c r="Y171" s="15"/>
      <c r="Z171" s="15"/>
      <c r="AA171" s="15"/>
      <c r="AB171" s="15"/>
      <c r="AC171" s="15"/>
      <c r="AD171" s="15"/>
      <c r="AE171" s="15"/>
      <c r="AF171" s="15"/>
      <c r="AG171" s="15"/>
      <c r="AH171" s="15"/>
      <c r="AI171" s="15"/>
      <c r="AJ171" s="15"/>
      <c r="AK171" s="15"/>
    </row>
    <row r="172" spans="1:43" s="33" customFormat="1" ht="17.25" customHeight="1">
      <c r="A172" s="191"/>
      <c r="D172" s="1022"/>
      <c r="E172" s="1031"/>
      <c r="F172" s="1009"/>
      <c r="G172" s="1032"/>
      <c r="H172" s="1094"/>
      <c r="I172" s="1094"/>
      <c r="J172" s="1244"/>
      <c r="K172" s="1159"/>
      <c r="L172" s="1094"/>
      <c r="M172" s="1094"/>
      <c r="N172" s="1242"/>
      <c r="O172" s="1098"/>
      <c r="P172" s="188"/>
      <c r="Q172" s="189"/>
      <c r="R172" s="189" t="s">
        <v>445</v>
      </c>
      <c r="S172" s="1030"/>
      <c r="T172" s="1030"/>
      <c r="U172" s="1030"/>
      <c r="V172" s="1030"/>
      <c r="W172" s="832"/>
      <c r="Y172" s="15"/>
      <c r="Z172" s="15"/>
      <c r="AA172" s="15"/>
      <c r="AB172" s="15"/>
      <c r="AC172" s="15"/>
      <c r="AD172" s="15"/>
      <c r="AE172" s="15"/>
      <c r="AF172" s="15"/>
      <c r="AG172" s="15"/>
      <c r="AH172" s="15"/>
      <c r="AI172" s="15"/>
      <c r="AJ172" s="15"/>
      <c r="AK172" s="15"/>
    </row>
    <row r="173" spans="1:43" s="33" customFormat="1" ht="17.25" customHeight="1">
      <c r="A173" s="191"/>
      <c r="D173" s="1022"/>
      <c r="E173" s="1031"/>
      <c r="F173" s="1009"/>
      <c r="G173" s="1032"/>
      <c r="H173" s="1094"/>
      <c r="I173" s="1094"/>
      <c r="J173" s="1244"/>
      <c r="K173" s="1098"/>
      <c r="L173" s="188"/>
      <c r="M173" s="189"/>
      <c r="N173" s="189" t="s">
        <v>446</v>
      </c>
      <c r="O173" s="189"/>
      <c r="P173" s="189"/>
      <c r="Q173" s="189"/>
      <c r="R173" s="189"/>
      <c r="S173" s="1030"/>
      <c r="T173" s="1030"/>
      <c r="U173" s="1030"/>
      <c r="V173" s="1030"/>
      <c r="W173" s="190"/>
      <c r="Y173" s="15"/>
      <c r="Z173" s="15"/>
      <c r="AA173" s="15"/>
      <c r="AB173" s="15"/>
      <c r="AC173" s="15"/>
      <c r="AD173" s="15"/>
      <c r="AE173" s="15"/>
      <c r="AF173" s="15"/>
      <c r="AG173" s="15"/>
      <c r="AH173" s="15"/>
      <c r="AI173" s="15"/>
      <c r="AJ173" s="15"/>
      <c r="AK173" s="15"/>
    </row>
    <row r="174" spans="1:43" ht="17.25" customHeight="1"/>
    <row r="175" spans="1:43" s="33" customFormat="1" ht="17.25" customHeight="1">
      <c r="A175" s="191"/>
      <c r="C175" s="74"/>
      <c r="D175" s="1022"/>
      <c r="E175" s="1031"/>
      <c r="F175" s="1009"/>
      <c r="G175" s="1032"/>
      <c r="H175" s="1022"/>
      <c r="I175" s="1022"/>
      <c r="J175" s="1035"/>
      <c r="K175" s="1032"/>
      <c r="L175" s="1093"/>
      <c r="M175" s="1093" t="s">
        <v>119</v>
      </c>
      <c r="N175" s="1241" t="str">
        <f>IF(Z175="","",INDEX(TERRITORY_MR_LIST,MATCH(Z175,TERRITORY_LIST_ID,0)))</f>
        <v/>
      </c>
      <c r="O175" s="1158" t="s">
        <v>59</v>
      </c>
      <c r="P175" s="1093"/>
      <c r="Q175" s="1093" t="s">
        <v>119</v>
      </c>
      <c r="R175" s="1216" t="s">
        <v>18</v>
      </c>
      <c r="S175" s="1273" t="s">
        <v>57</v>
      </c>
      <c r="T175" s="840"/>
      <c r="U175" s="840" t="s">
        <v>119</v>
      </c>
      <c r="V175" s="833"/>
      <c r="W175" s="1243"/>
      <c r="Y175" s="756"/>
      <c r="Z175" s="756"/>
      <c r="AA175" s="756"/>
      <c r="AB175" s="756"/>
      <c r="AC175" s="756"/>
      <c r="AD175" s="756"/>
      <c r="AE175" s="756"/>
      <c r="AF175" s="756"/>
      <c r="AG175" s="756"/>
      <c r="AH175" s="756"/>
      <c r="AI175" s="756"/>
      <c r="AJ175" s="756"/>
      <c r="AK175" s="756"/>
      <c r="AL175" s="141"/>
      <c r="AM175" s="141"/>
      <c r="AN175" s="756"/>
      <c r="AO175" s="756"/>
      <c r="AP175" s="756"/>
      <c r="AQ175" s="756"/>
    </row>
    <row r="176" spans="1:43" s="33" customFormat="1" ht="17.25" customHeight="1">
      <c r="A176" s="191"/>
      <c r="D176" s="1022"/>
      <c r="E176" s="1031"/>
      <c r="F176" s="1009"/>
      <c r="G176" s="1032"/>
      <c r="H176" s="1022"/>
      <c r="I176" s="1022"/>
      <c r="J176" s="1035"/>
      <c r="K176" s="1032"/>
      <c r="L176" s="1093"/>
      <c r="M176" s="1093"/>
      <c r="N176" s="1241"/>
      <c r="O176" s="1159"/>
      <c r="P176" s="1093"/>
      <c r="Q176" s="1093"/>
      <c r="R176" s="1216"/>
      <c r="S176" s="1273"/>
      <c r="T176" s="834"/>
      <c r="U176" s="835"/>
      <c r="V176" s="835"/>
      <c r="W176" s="1243"/>
      <c r="Y176" s="15"/>
      <c r="Z176" s="15"/>
      <c r="AA176" s="15"/>
      <c r="AB176" s="15"/>
      <c r="AC176" s="15"/>
      <c r="AD176" s="15"/>
      <c r="AE176" s="15"/>
      <c r="AF176" s="15"/>
      <c r="AG176" s="15"/>
      <c r="AH176" s="15"/>
      <c r="AI176" s="15"/>
      <c r="AJ176" s="15"/>
      <c r="AK176" s="15"/>
    </row>
    <row r="177" spans="1:43" s="33" customFormat="1" ht="17.25" customHeight="1">
      <c r="A177" s="191"/>
      <c r="D177" s="1022"/>
      <c r="E177" s="1031"/>
      <c r="F177" s="1009"/>
      <c r="G177" s="1032"/>
      <c r="H177" s="1022"/>
      <c r="I177" s="1022"/>
      <c r="J177" s="1035"/>
      <c r="K177" s="1032"/>
      <c r="L177" s="1094"/>
      <c r="M177" s="1094"/>
      <c r="N177" s="1242"/>
      <c r="O177" s="1098"/>
      <c r="P177" s="188"/>
      <c r="Q177" s="189"/>
      <c r="R177" s="189" t="s">
        <v>445</v>
      </c>
      <c r="S177" s="1030"/>
      <c r="T177" s="1030"/>
      <c r="U177" s="1030"/>
      <c r="V177" s="1030"/>
      <c r="W177" s="832"/>
      <c r="Y177" s="15"/>
      <c r="Z177" s="15"/>
      <c r="AA177" s="15"/>
      <c r="AB177" s="15"/>
      <c r="AC177" s="15"/>
      <c r="AD177" s="15"/>
      <c r="AE177" s="15"/>
      <c r="AF177" s="15"/>
      <c r="AG177" s="15"/>
      <c r="AH177" s="15"/>
      <c r="AI177" s="15"/>
      <c r="AJ177" s="15"/>
      <c r="AK177" s="15"/>
    </row>
    <row r="178" spans="1:43" ht="17.25" customHeight="1"/>
    <row r="179" spans="1:43" s="33" customFormat="1" ht="17.25" customHeight="1">
      <c r="A179" s="191"/>
      <c r="C179" s="74"/>
      <c r="D179" s="1022"/>
      <c r="E179" s="1031"/>
      <c r="F179" s="1009"/>
      <c r="G179" s="1032"/>
      <c r="H179" s="1022"/>
      <c r="I179" s="1022"/>
      <c r="J179" s="1035"/>
      <c r="K179" s="1032"/>
      <c r="L179" s="1022"/>
      <c r="M179" s="1022"/>
      <c r="N179" s="1034"/>
      <c r="O179" s="1010"/>
      <c r="P179" s="1093"/>
      <c r="Q179" s="1093" t="s">
        <v>119</v>
      </c>
      <c r="R179" s="1216" t="s">
        <v>18</v>
      </c>
      <c r="S179" s="1273" t="s">
        <v>57</v>
      </c>
      <c r="T179" s="840"/>
      <c r="U179" s="840" t="s">
        <v>119</v>
      </c>
      <c r="V179" s="833"/>
      <c r="W179" s="1243"/>
      <c r="Y179" s="756"/>
      <c r="Z179" s="756"/>
      <c r="AA179" s="756"/>
      <c r="AB179" s="756"/>
      <c r="AC179" s="756"/>
      <c r="AD179" s="756"/>
      <c r="AE179" s="756"/>
      <c r="AF179" s="756"/>
      <c r="AG179" s="756"/>
      <c r="AH179" s="756"/>
      <c r="AI179" s="756"/>
      <c r="AJ179" s="756"/>
      <c r="AK179" s="756"/>
      <c r="AL179" s="141"/>
      <c r="AM179" s="141"/>
      <c r="AN179" s="756"/>
      <c r="AO179" s="756"/>
      <c r="AP179" s="756"/>
      <c r="AQ179" s="756"/>
    </row>
    <row r="180" spans="1:43" s="33" customFormat="1" ht="17.25" customHeight="1">
      <c r="A180" s="191"/>
      <c r="D180" s="1022"/>
      <c r="E180" s="1031"/>
      <c r="F180" s="1009"/>
      <c r="G180" s="1032"/>
      <c r="H180" s="1022"/>
      <c r="I180" s="1022"/>
      <c r="J180" s="1035"/>
      <c r="K180" s="1032"/>
      <c r="L180" s="1022"/>
      <c r="M180" s="1022"/>
      <c r="N180" s="1034"/>
      <c r="O180" s="1010"/>
      <c r="P180" s="1093"/>
      <c r="Q180" s="1093"/>
      <c r="R180" s="1216"/>
      <c r="S180" s="1273"/>
      <c r="T180" s="834"/>
      <c r="U180" s="835"/>
      <c r="V180" s="835"/>
      <c r="W180" s="1243"/>
      <c r="Y180" s="15"/>
      <c r="Z180" s="15"/>
      <c r="AA180" s="15"/>
      <c r="AB180" s="15"/>
      <c r="AC180" s="15"/>
      <c r="AD180" s="15"/>
      <c r="AE180" s="15"/>
      <c r="AF180" s="15"/>
      <c r="AG180" s="15"/>
      <c r="AH180" s="15"/>
      <c r="AI180" s="15"/>
      <c r="AJ180" s="15"/>
      <c r="AK180" s="15"/>
    </row>
    <row r="181" spans="1:43" ht="17.25" customHeight="1"/>
    <row r="182" spans="1:43" ht="16.5" customHeight="1">
      <c r="A182" s="191"/>
      <c r="B182" s="33"/>
      <c r="C182" s="33"/>
      <c r="D182" s="1212"/>
      <c r="E182" s="1155"/>
      <c r="F182" s="1155"/>
      <c r="G182" s="1082"/>
      <c r="H182" s="1118"/>
      <c r="I182" s="1120"/>
      <c r="J182" s="1122"/>
      <c r="K182" s="1110"/>
      <c r="L182" s="1110"/>
      <c r="M182" s="1110"/>
      <c r="N182" s="1125"/>
      <c r="O182" s="1110"/>
      <c r="P182" s="1110"/>
      <c r="Q182" s="1110"/>
      <c r="R182" s="1128"/>
      <c r="S182" s="1110"/>
      <c r="T182" s="828"/>
      <c r="U182" s="828"/>
      <c r="V182" s="827"/>
      <c r="W182" s="771"/>
    </row>
    <row r="183" spans="1:43" ht="16.5" customHeight="1">
      <c r="A183" s="191"/>
      <c r="B183" s="33"/>
      <c r="C183" s="33"/>
      <c r="D183" s="1212"/>
      <c r="E183" s="1155"/>
      <c r="F183" s="1155"/>
      <c r="G183" s="1082"/>
      <c r="H183" s="1119"/>
      <c r="I183" s="1121"/>
      <c r="J183" s="1123"/>
      <c r="K183" s="1111"/>
      <c r="L183" s="1111"/>
      <c r="M183" s="1111"/>
      <c r="N183" s="1126"/>
      <c r="O183" s="1111"/>
      <c r="P183" s="1111"/>
      <c r="Q183" s="1111"/>
      <c r="R183" s="1127"/>
      <c r="S183" s="1111"/>
      <c r="T183" s="772"/>
      <c r="U183" s="772"/>
      <c r="V183" s="772"/>
      <c r="W183" s="773"/>
    </row>
    <row r="184" spans="1:43" ht="17.25" customHeight="1">
      <c r="A184" s="191"/>
      <c r="B184" s="33"/>
      <c r="C184" s="33"/>
      <c r="D184" s="1212"/>
      <c r="E184" s="1155"/>
      <c r="F184" s="1155"/>
      <c r="G184" s="1082"/>
      <c r="H184" s="1119"/>
      <c r="I184" s="1121"/>
      <c r="J184" s="1124"/>
      <c r="K184" s="1111"/>
      <c r="L184" s="1111"/>
      <c r="M184" s="1111"/>
      <c r="N184" s="1127"/>
      <c r="O184" s="1111"/>
      <c r="P184" s="53"/>
      <c r="Q184" s="772"/>
      <c r="R184" s="772"/>
      <c r="S184" s="33"/>
      <c r="T184" s="33"/>
      <c r="U184" s="33"/>
      <c r="V184" s="33"/>
      <c r="W184" s="773"/>
    </row>
    <row r="185" spans="1:43" ht="17.25" customHeight="1">
      <c r="A185" s="191"/>
      <c r="B185" s="33"/>
      <c r="C185" s="33"/>
      <c r="D185" s="1212"/>
      <c r="E185" s="1155"/>
      <c r="F185" s="1155"/>
      <c r="G185" s="1082"/>
      <c r="H185" s="1119"/>
      <c r="I185" s="1121"/>
      <c r="J185" s="1124"/>
      <c r="K185" s="1111"/>
      <c r="L185" s="772"/>
      <c r="M185" s="772"/>
      <c r="N185" s="772"/>
      <c r="O185" s="772"/>
      <c r="P185" s="772"/>
      <c r="Q185" s="772"/>
      <c r="R185" s="772"/>
      <c r="S185" s="33"/>
      <c r="T185" s="33"/>
      <c r="U185" s="33"/>
      <c r="V185" s="33"/>
      <c r="W185" s="773"/>
    </row>
    <row r="186" spans="1:43" ht="17.25" customHeight="1">
      <c r="A186" s="191"/>
      <c r="B186" s="33"/>
      <c r="C186" s="33"/>
      <c r="D186" s="1212"/>
      <c r="E186" s="1155"/>
      <c r="F186" s="1155"/>
      <c r="G186" s="1082"/>
      <c r="H186" s="774"/>
      <c r="I186" s="775"/>
      <c r="J186" s="775"/>
      <c r="K186" s="775"/>
      <c r="L186" s="775"/>
      <c r="M186" s="775"/>
      <c r="N186" s="775"/>
      <c r="O186" s="775"/>
      <c r="P186" s="775"/>
      <c r="Q186" s="775"/>
      <c r="R186" s="775"/>
      <c r="S186" s="776"/>
      <c r="T186" s="776"/>
      <c r="U186" s="776"/>
      <c r="V186" s="776"/>
      <c r="W186" s="777"/>
    </row>
    <row r="188" spans="1:43" s="1016" customFormat="1" ht="17.25" customHeight="1">
      <c r="A188" s="1016" t="s">
        <v>449</v>
      </c>
    </row>
    <row r="189" spans="1:43" ht="17.25" customHeight="1">
      <c r="G189" s="1029"/>
      <c r="H189" s="1029"/>
      <c r="I189" s="1029"/>
    </row>
    <row r="190" spans="1:43" ht="15" customHeight="1">
      <c r="D190" s="1265"/>
      <c r="E190" s="1150"/>
      <c r="F190" s="1150"/>
      <c r="G190" s="1158"/>
      <c r="H190" s="899"/>
      <c r="I190" s="1266">
        <v>1</v>
      </c>
      <c r="J190" s="1243"/>
      <c r="K190" s="151"/>
      <c r="L190" s="1158" t="s">
        <v>59</v>
      </c>
      <c r="M190" s="1158" t="s">
        <v>59</v>
      </c>
      <c r="N190" s="899"/>
      <c r="O190" s="1093" t="s">
        <v>119</v>
      </c>
      <c r="P190" s="1259"/>
      <c r="Q190" s="151"/>
      <c r="R190" s="1158" t="s">
        <v>59</v>
      </c>
      <c r="S190" s="1158" t="s">
        <v>59</v>
      </c>
      <c r="T190" s="1036"/>
      <c r="U190" s="1093" t="s">
        <v>119</v>
      </c>
      <c r="V190" s="1261" t="str">
        <f>IF(AK190="","",INDEX(TERRITORY_MR_LIST,MATCH(AK190,TERRITORY_LIST_ID,0)))</f>
        <v/>
      </c>
      <c r="W190" s="358"/>
      <c r="X190" s="1158" t="s">
        <v>59</v>
      </c>
      <c r="Y190" s="1158" t="s">
        <v>57</v>
      </c>
      <c r="Z190" s="899"/>
      <c r="AA190" s="1093" t="s">
        <v>119</v>
      </c>
      <c r="AB190" s="1263"/>
      <c r="AC190" s="909"/>
      <c r="AD190" s="1158" t="s">
        <v>59</v>
      </c>
      <c r="AE190" s="1158" t="s">
        <v>57</v>
      </c>
      <c r="AF190" s="358"/>
      <c r="AG190" s="41" t="s">
        <v>119</v>
      </c>
      <c r="AH190" s="905"/>
      <c r="AI190" s="35"/>
    </row>
    <row r="191" spans="1:43" ht="15" customHeight="1">
      <c r="D191" s="1265"/>
      <c r="E191" s="1150"/>
      <c r="F191" s="1150"/>
      <c r="G191" s="1159"/>
      <c r="H191" s="899"/>
      <c r="I191" s="1266"/>
      <c r="J191" s="1243"/>
      <c r="K191" s="898"/>
      <c r="L191" s="1159"/>
      <c r="M191" s="1159"/>
      <c r="N191" s="899"/>
      <c r="O191" s="1093"/>
      <c r="P191" s="1259"/>
      <c r="Q191" s="896"/>
      <c r="R191" s="1159"/>
      <c r="S191" s="1159"/>
      <c r="T191" s="1036"/>
      <c r="U191" s="1093"/>
      <c r="V191" s="1262"/>
      <c r="W191" s="897"/>
      <c r="X191" s="1159"/>
      <c r="Y191" s="1159"/>
      <c r="Z191" s="899"/>
      <c r="AA191" s="1093"/>
      <c r="AB191" s="1264"/>
      <c r="AC191" s="613"/>
      <c r="AD191" s="1098"/>
      <c r="AE191" s="1098"/>
      <c r="AF191" s="900"/>
      <c r="AG191" s="188"/>
      <c r="AH191" s="1268" t="s">
        <v>450</v>
      </c>
      <c r="AI191" s="1269"/>
    </row>
    <row r="192" spans="1:43" ht="15" customHeight="1">
      <c r="D192" s="1265"/>
      <c r="E192" s="1150"/>
      <c r="F192" s="1150"/>
      <c r="G192" s="1159"/>
      <c r="H192" s="899"/>
      <c r="I192" s="1266"/>
      <c r="J192" s="1243"/>
      <c r="K192" s="898"/>
      <c r="L192" s="1159"/>
      <c r="M192" s="1159"/>
      <c r="N192" s="899"/>
      <c r="O192" s="1093"/>
      <c r="P192" s="1259"/>
      <c r="Q192" s="896"/>
      <c r="R192" s="1159"/>
      <c r="S192" s="1159"/>
      <c r="T192" s="1036"/>
      <c r="U192" s="1093"/>
      <c r="V192" s="1262"/>
      <c r="W192" s="897"/>
      <c r="X192" s="1159"/>
      <c r="Y192" s="1159"/>
      <c r="Z192" s="897"/>
      <c r="AA192" s="902"/>
      <c r="AB192" s="1270" t="s">
        <v>451</v>
      </c>
      <c r="AC192" s="1270"/>
      <c r="AD192" s="1270"/>
      <c r="AE192" s="1270"/>
      <c r="AF192" s="1270"/>
      <c r="AG192" s="1270"/>
      <c r="AH192" s="1270"/>
      <c r="AI192" s="1271"/>
    </row>
    <row r="193" spans="4:63" ht="15" customHeight="1">
      <c r="D193" s="1265"/>
      <c r="E193" s="1150"/>
      <c r="F193" s="1150"/>
      <c r="G193" s="1159"/>
      <c r="H193" s="899"/>
      <c r="I193" s="1266"/>
      <c r="J193" s="1243"/>
      <c r="K193" s="898"/>
      <c r="L193" s="1159"/>
      <c r="M193" s="1159"/>
      <c r="N193" s="899"/>
      <c r="O193" s="1093"/>
      <c r="P193" s="1272"/>
      <c r="Q193" s="896"/>
      <c r="R193" s="1159"/>
      <c r="S193" s="1159"/>
      <c r="T193" s="1037"/>
      <c r="U193" s="920"/>
      <c r="V193" s="1268" t="s">
        <v>113</v>
      </c>
      <c r="W193" s="1268"/>
      <c r="X193" s="1268"/>
      <c r="Y193" s="1268"/>
      <c r="Z193" s="1268"/>
      <c r="AA193" s="1268"/>
      <c r="AB193" s="1268"/>
      <c r="AC193" s="1268"/>
      <c r="AD193" s="1268"/>
      <c r="AE193" s="1268"/>
      <c r="AF193" s="1268"/>
      <c r="AG193" s="1268"/>
      <c r="AH193" s="1268"/>
      <c r="AI193" s="1269"/>
    </row>
    <row r="194" spans="4:63" ht="11.25" customHeight="1">
      <c r="D194" s="1265"/>
      <c r="E194" s="1150"/>
      <c r="F194" s="1150"/>
      <c r="G194" s="1159"/>
      <c r="H194" s="901"/>
      <c r="I194" s="1266"/>
      <c r="J194" s="1267"/>
      <c r="K194" s="898"/>
      <c r="L194" s="1159"/>
      <c r="M194" s="1159"/>
      <c r="N194" s="901"/>
      <c r="O194" s="902"/>
      <c r="P194" s="1268" t="s">
        <v>452</v>
      </c>
      <c r="Q194" s="1268"/>
      <c r="R194" s="1268"/>
      <c r="S194" s="1268"/>
      <c r="T194" s="1268"/>
      <c r="U194" s="1268"/>
      <c r="V194" s="1268"/>
      <c r="W194" s="1268"/>
      <c r="X194" s="1268"/>
      <c r="Y194" s="1268"/>
      <c r="Z194" s="1268"/>
      <c r="AA194" s="1268"/>
      <c r="AB194" s="1268"/>
      <c r="AC194" s="1268"/>
      <c r="AD194" s="1268"/>
      <c r="AE194" s="1268"/>
      <c r="AF194" s="1268"/>
      <c r="AG194" s="1268"/>
      <c r="AH194" s="1268"/>
      <c r="AI194" s="1269"/>
    </row>
    <row r="195" spans="4:63" s="891" customFormat="1" ht="11.25" customHeight="1">
      <c r="D195" s="1265"/>
      <c r="E195" s="1150"/>
      <c r="F195" s="1150"/>
      <c r="G195" s="1098"/>
      <c r="H195" s="903"/>
      <c r="I195" s="904"/>
      <c r="J195" s="1268" t="s">
        <v>447</v>
      </c>
      <c r="K195" s="1268"/>
      <c r="L195" s="1268"/>
      <c r="M195" s="1268"/>
      <c r="N195" s="1268"/>
      <c r="O195" s="1268"/>
      <c r="P195" s="1268"/>
      <c r="Q195" s="1268"/>
      <c r="R195" s="1268"/>
      <c r="S195" s="1268"/>
      <c r="T195" s="1268"/>
      <c r="U195" s="1268"/>
      <c r="V195" s="1268"/>
      <c r="W195" s="1268"/>
      <c r="X195" s="1268"/>
      <c r="Y195" s="1268"/>
      <c r="Z195" s="1268"/>
      <c r="AA195" s="1268"/>
      <c r="AB195" s="1268"/>
      <c r="AC195" s="1268"/>
      <c r="AD195" s="1268"/>
      <c r="AE195" s="1268"/>
      <c r="AF195" s="1268"/>
      <c r="AG195" s="1268"/>
      <c r="AH195" s="1268"/>
      <c r="AI195" s="1269"/>
      <c r="BK195"/>
    </row>
    <row r="196" spans="4:63" ht="17.25" customHeight="1">
      <c r="G196" s="1029"/>
      <c r="I196" s="1029"/>
      <c r="J196" s="1029"/>
    </row>
    <row r="197" spans="4:63" ht="15" customHeight="1">
      <c r="D197" s="1265"/>
      <c r="E197" s="1150"/>
      <c r="F197" s="1150"/>
      <c r="G197" s="1155"/>
      <c r="H197" s="916"/>
      <c r="I197" s="1160"/>
      <c r="J197" s="1122"/>
      <c r="K197" s="857"/>
      <c r="L197" s="1110"/>
      <c r="M197" s="1110"/>
      <c r="N197" s="910"/>
      <c r="O197" s="1110"/>
      <c r="P197" s="1122"/>
      <c r="Q197" s="857"/>
      <c r="R197" s="1110"/>
      <c r="S197" s="1110"/>
      <c r="T197" s="911"/>
      <c r="U197" s="1110"/>
      <c r="V197" s="1122"/>
      <c r="W197" s="828"/>
      <c r="X197" s="1110"/>
      <c r="Y197" s="1110"/>
      <c r="Z197" s="910"/>
      <c r="AA197" s="1110"/>
      <c r="AB197" s="1122"/>
      <c r="AC197" s="912"/>
      <c r="AD197" s="1110"/>
      <c r="AE197" s="1110"/>
      <c r="AF197" s="828"/>
      <c r="AG197" s="828"/>
      <c r="AH197" s="910"/>
      <c r="AI197" s="771"/>
    </row>
    <row r="198" spans="4:63" ht="15" customHeight="1">
      <c r="D198" s="1265"/>
      <c r="E198" s="1150"/>
      <c r="F198" s="1150"/>
      <c r="G198" s="1155"/>
      <c r="H198" s="917"/>
      <c r="I198" s="1161"/>
      <c r="J198" s="1123"/>
      <c r="K198" s="351"/>
      <c r="L198" s="1111"/>
      <c r="M198" s="1111"/>
      <c r="N198" s="32"/>
      <c r="O198" s="1111"/>
      <c r="P198" s="1123"/>
      <c r="Q198" s="391"/>
      <c r="R198" s="1111"/>
      <c r="S198" s="1111"/>
      <c r="T198" s="913"/>
      <c r="U198" s="1111"/>
      <c r="V198" s="1123"/>
      <c r="W198" s="53"/>
      <c r="X198" s="1111"/>
      <c r="Y198" s="1111"/>
      <c r="Z198" s="32"/>
      <c r="AA198" s="1111"/>
      <c r="AB198" s="1123"/>
      <c r="AC198" s="351"/>
      <c r="AD198" s="1111"/>
      <c r="AE198" s="1111"/>
      <c r="AF198" s="772"/>
      <c r="AG198" s="772"/>
      <c r="AH198" s="1164"/>
      <c r="AI198" s="1165"/>
    </row>
    <row r="199" spans="4:63" ht="15" customHeight="1">
      <c r="D199" s="1265"/>
      <c r="E199" s="1150"/>
      <c r="F199" s="1150"/>
      <c r="G199" s="1155"/>
      <c r="H199" s="917"/>
      <c r="I199" s="1161"/>
      <c r="J199" s="1123"/>
      <c r="K199" s="351"/>
      <c r="L199" s="1111"/>
      <c r="M199" s="1111"/>
      <c r="N199" s="32"/>
      <c r="O199" s="1111"/>
      <c r="P199" s="1123"/>
      <c r="Q199" s="391"/>
      <c r="R199" s="1111"/>
      <c r="S199" s="1111"/>
      <c r="T199" s="913"/>
      <c r="U199" s="1111"/>
      <c r="V199" s="1123"/>
      <c r="W199" s="53"/>
      <c r="X199" s="1111"/>
      <c r="Y199" s="1111"/>
      <c r="Z199" s="53"/>
      <c r="AA199" s="772"/>
      <c r="AB199" s="1164"/>
      <c r="AC199" s="1164"/>
      <c r="AD199" s="1164"/>
      <c r="AE199" s="1164"/>
      <c r="AF199" s="1164"/>
      <c r="AG199" s="1164"/>
      <c r="AH199" s="1164"/>
      <c r="AI199" s="1165"/>
    </row>
    <row r="200" spans="4:63" ht="15" customHeight="1">
      <c r="D200" s="1265"/>
      <c r="E200" s="1150"/>
      <c r="F200" s="1150"/>
      <c r="G200" s="1155"/>
      <c r="H200" s="917"/>
      <c r="I200" s="1161"/>
      <c r="J200" s="1123"/>
      <c r="K200" s="351"/>
      <c r="L200" s="1111"/>
      <c r="M200" s="1111"/>
      <c r="N200" s="32"/>
      <c r="O200" s="1111"/>
      <c r="P200" s="1123"/>
      <c r="Q200" s="391"/>
      <c r="R200" s="1111"/>
      <c r="S200" s="1111"/>
      <c r="T200" s="48"/>
      <c r="U200" s="914"/>
      <c r="V200" s="1164"/>
      <c r="W200" s="1164"/>
      <c r="X200" s="1164"/>
      <c r="Y200" s="1164"/>
      <c r="Z200" s="1164"/>
      <c r="AA200" s="1164"/>
      <c r="AB200" s="1164"/>
      <c r="AC200" s="1164"/>
      <c r="AD200" s="1164"/>
      <c r="AE200" s="1164"/>
      <c r="AF200" s="1164"/>
      <c r="AG200" s="1164"/>
      <c r="AH200" s="1164"/>
      <c r="AI200" s="1165"/>
    </row>
    <row r="201" spans="4:63" ht="11.25" customHeight="1">
      <c r="D201" s="1265"/>
      <c r="E201" s="1150"/>
      <c r="F201" s="1150"/>
      <c r="G201" s="1155"/>
      <c r="H201" s="918"/>
      <c r="I201" s="1161"/>
      <c r="J201" s="1123"/>
      <c r="K201" s="351"/>
      <c r="L201" s="1111"/>
      <c r="M201" s="1111"/>
      <c r="N201" s="772"/>
      <c r="O201" s="772"/>
      <c r="P201" s="1164"/>
      <c r="Q201" s="1164"/>
      <c r="R201" s="1164"/>
      <c r="S201" s="1164"/>
      <c r="T201" s="1164"/>
      <c r="U201" s="1164"/>
      <c r="V201" s="1164"/>
      <c r="W201" s="1164"/>
      <c r="X201" s="1164"/>
      <c r="Y201" s="1164"/>
      <c r="Z201" s="1164"/>
      <c r="AA201" s="1164"/>
      <c r="AB201" s="1164"/>
      <c r="AC201" s="1164"/>
      <c r="AD201" s="1164"/>
      <c r="AE201" s="1164"/>
      <c r="AF201" s="1164"/>
      <c r="AG201" s="1164"/>
      <c r="AH201" s="1164"/>
      <c r="AI201" s="1165"/>
    </row>
    <row r="202" spans="4:63" s="891" customFormat="1" ht="11.25" customHeight="1">
      <c r="D202" s="1265"/>
      <c r="E202" s="1150"/>
      <c r="F202" s="1150"/>
      <c r="G202" s="1166"/>
      <c r="H202" s="915"/>
      <c r="I202" s="919"/>
      <c r="J202" s="1162"/>
      <c r="K202" s="1162"/>
      <c r="L202" s="1162"/>
      <c r="M202" s="1162"/>
      <c r="N202" s="1162"/>
      <c r="O202" s="1162"/>
      <c r="P202" s="1162"/>
      <c r="Q202" s="1162"/>
      <c r="R202" s="1162"/>
      <c r="S202" s="1162"/>
      <c r="T202" s="1162"/>
      <c r="U202" s="1162"/>
      <c r="V202" s="1162"/>
      <c r="W202" s="1162"/>
      <c r="X202" s="1162"/>
      <c r="Y202" s="1162"/>
      <c r="Z202" s="1162"/>
      <c r="AA202" s="1162"/>
      <c r="AB202" s="1162"/>
      <c r="AC202" s="1162"/>
      <c r="AD202" s="1162"/>
      <c r="AE202" s="1162"/>
      <c r="AF202" s="1162"/>
      <c r="AG202" s="1162"/>
      <c r="AH202" s="1162"/>
      <c r="AI202" s="1163"/>
      <c r="BK202"/>
    </row>
    <row r="203" spans="4:63" ht="17.25" customHeight="1"/>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xr:uid="{00000000-0002-0000-0A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xr:uid="{00000000-0002-0000-0A00-000001000000}"/>
    <dataValidation type="list" allowBlank="1" showInputMessage="1" showErrorMessage="1" errorTitle="Ошибка" error="Выберите значение из списка" prompt="Выберите значение из списка" sqref="H98" xr:uid="{00000000-0002-0000-0A00-000002000000}">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xr:uid="{00000000-0002-0000-0A00-000003000000}">
      <formula1>kind_of_purchase_method</formula1>
    </dataValidation>
    <dataValidation allowBlank="1" showInputMessage="1" showErrorMessage="1" promptTitle="Ввод" prompt="Для выбора ИП необходимо два раза нажать левую кнопку мыши!" sqref="G60 G65" xr:uid="{00000000-0002-0000-0A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xr:uid="{00000000-0002-0000-0A00-000005000000}"/>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xr:uid="{00000000-0002-0000-0A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xr:uid="{00000000-0002-0000-0A00-000007000000}">
      <formula1>kind_of_power_te_unit</formula1>
    </dataValidation>
    <dataValidation allowBlank="1" showInputMessage="1" showErrorMessage="1" prompt="Изменение значения по двойному щелчоку левой кнопки мыши" sqref="J44" xr:uid="{00000000-0002-0000-0A00-000008000000}"/>
    <dataValidation type="list" allowBlank="1" showInputMessage="1" showErrorMessage="1" sqref="I30" xr:uid="{00000000-0002-0000-0A00-000009000000}">
      <formula1>DESCRIPTION_TERRITORY</formula1>
    </dataValidation>
    <dataValidation type="textLength" operator="lessThan" allowBlank="1" showInputMessage="1" showErrorMessage="1" error="Допускается ввод не более 900 символов!" sqref="M25 M19" xr:uid="{00000000-0002-0000-0A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xr:uid="{00000000-0002-0000-0A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xr:uid="{00000000-0002-0000-0A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xr:uid="{00000000-0002-0000-0A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xr:uid="{00000000-0002-0000-0A00-00000E000000}"/>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xr:uid="{00000000-0002-0000-0A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xr:uid="{00000000-0002-0000-0A00-000010000000}"/>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xr:uid="{00000000-0002-0000-0A00-000011000000}"/>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xr:uid="{00000000-0002-0000-0A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9D6E6-5B6D-E15D-316B-10ECD4620DE2}">
  <sheetPr>
    <tabColor theme="6" tint="0.39997558519241921"/>
    <pageSetUpPr fitToPage="1"/>
  </sheetPr>
  <dimension ref="A1:P29"/>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6" width="64.140625" style="9" customWidth="1"/>
    <col min="7" max="7" width="141.140625" style="9" customWidth="1"/>
    <col min="8" max="8" width="10.5703125" style="9"/>
    <col min="9" max="10" width="10.5703125" style="66"/>
    <col min="11" max="16" width="10.5703125" style="9"/>
  </cols>
  <sheetData>
    <row r="1" spans="1:16" ht="14.25" hidden="1" customHeight="1">
      <c r="M1" s="147"/>
      <c r="N1" s="147"/>
      <c r="P1" s="147"/>
    </row>
    <row r="2" spans="1:16" ht="14.25" hidden="1" customHeight="1"/>
    <row r="3" spans="1:16" ht="14.25" hidden="1" customHeight="1"/>
    <row r="4" spans="1:16" ht="3" customHeight="1">
      <c r="C4" s="27"/>
      <c r="D4" s="8"/>
      <c r="E4" s="8"/>
      <c r="F4" s="18"/>
      <c r="G4" s="18"/>
    </row>
    <row r="5" spans="1:16" ht="25.5" customHeight="1">
      <c r="C5" s="27"/>
      <c r="D5" s="1075"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076"/>
      <c r="F5" s="1076"/>
      <c r="G5" s="1077"/>
    </row>
    <row r="6" spans="1:16" s="9" customFormat="1" ht="18" customHeight="1">
      <c r="A6" s="32"/>
      <c r="B6" s="60"/>
      <c r="C6" s="27"/>
      <c r="D6" s="1191" t="str">
        <f>IF(org=0,"Не определено",org)</f>
        <v>ООО "Концессионная Коммунальная Компания"</v>
      </c>
      <c r="E6" s="1192"/>
      <c r="F6" s="1192"/>
      <c r="G6" s="1193"/>
      <c r="I6" s="66"/>
      <c r="J6" s="66"/>
    </row>
    <row r="7" spans="1:16" ht="14.25" customHeight="1">
      <c r="C7" s="27"/>
      <c r="D7" s="8"/>
      <c r="E7" s="12"/>
      <c r="F7" s="442"/>
      <c r="G7" s="98"/>
    </row>
    <row r="8" spans="1:16" s="9" customFormat="1" ht="0.75" customHeight="1">
      <c r="A8" s="32"/>
      <c r="B8" s="60"/>
      <c r="C8" s="27"/>
      <c r="D8" s="8"/>
      <c r="E8" s="12"/>
      <c r="F8" s="442"/>
      <c r="G8" s="98"/>
      <c r="I8" s="66"/>
      <c r="J8" s="66"/>
    </row>
    <row r="9" spans="1:16" ht="14.25" customHeight="1">
      <c r="C9" s="27"/>
      <c r="D9" s="1176" t="s">
        <v>302</v>
      </c>
      <c r="E9" s="1176"/>
      <c r="F9" s="1176"/>
      <c r="G9" s="1274" t="s">
        <v>303</v>
      </c>
    </row>
    <row r="10" spans="1:16" ht="14.25" customHeight="1">
      <c r="C10" s="27"/>
      <c r="D10" s="34" t="s">
        <v>88</v>
      </c>
      <c r="E10" s="37" t="s">
        <v>304</v>
      </c>
      <c r="F10" s="37" t="s">
        <v>394</v>
      </c>
      <c r="G10" s="1274"/>
    </row>
    <row r="11" spans="1:16" ht="12" hidden="1" customHeight="1">
      <c r="C11" s="27"/>
      <c r="D11" s="20"/>
      <c r="E11" s="20"/>
      <c r="F11" s="20"/>
      <c r="G11" s="20"/>
    </row>
    <row r="12" spans="1:16" ht="62.25" customHeight="1">
      <c r="A12" s="2"/>
      <c r="C12" s="27"/>
      <c r="D12" s="61">
        <v>1</v>
      </c>
      <c r="E12" s="1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7" t="s">
        <v>308</v>
      </c>
      <c r="G12" s="64"/>
    </row>
    <row r="13" spans="1:16" ht="22.5" customHeight="1">
      <c r="A13" s="2"/>
      <c r="C13" s="27"/>
      <c r="D13" s="61" t="s">
        <v>440</v>
      </c>
      <c r="E13" s="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 t="s">
        <v>308</v>
      </c>
      <c r="G13" s="64"/>
    </row>
    <row r="14" spans="1:16" ht="14.25" customHeight="1">
      <c r="A14" s="2"/>
      <c r="C14" s="27"/>
      <c r="D14" s="61" t="s">
        <v>453</v>
      </c>
      <c r="E14" s="100"/>
      <c r="F14" s="114"/>
      <c r="G14" s="11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2"/>
      <c r="C15" s="27"/>
      <c r="D15" s="38"/>
      <c r="E15" s="108" t="s">
        <v>454</v>
      </c>
      <c r="F15" s="105"/>
      <c r="G15" s="1137"/>
    </row>
    <row r="16" spans="1:16" ht="14.25" customHeight="1">
      <c r="A16" s="2"/>
      <c r="C16" s="27"/>
      <c r="D16" s="61" t="s">
        <v>455</v>
      </c>
      <c r="E16" s="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7" t="s">
        <v>308</v>
      </c>
      <c r="G16" s="171"/>
    </row>
    <row r="17" spans="1:16" ht="14.25" customHeight="1">
      <c r="A17" s="2"/>
      <c r="C17" s="27"/>
      <c r="D17" s="61" t="s">
        <v>456</v>
      </c>
      <c r="E17" s="100"/>
      <c r="F17" s="232"/>
      <c r="G17" s="11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9" customFormat="1" ht="21" customHeight="1">
      <c r="A18" s="2"/>
      <c r="B18" s="60"/>
      <c r="C18" s="27"/>
      <c r="D18" s="38"/>
      <c r="E18" s="108" t="s">
        <v>457</v>
      </c>
      <c r="F18" s="49"/>
      <c r="G18" s="1137"/>
      <c r="I18" s="66"/>
      <c r="J18" s="66"/>
    </row>
    <row r="19" spans="1:16" s="9" customFormat="1" ht="256.5" hidden="1" customHeight="1">
      <c r="A19" s="2"/>
      <c r="B19" s="60"/>
      <c r="C19" s="27"/>
      <c r="D19" s="61" t="s">
        <v>458</v>
      </c>
      <c r="E19" s="99" t="s">
        <v>459</v>
      </c>
      <c r="F19" s="232"/>
      <c r="G19" s="171" t="s">
        <v>460</v>
      </c>
      <c r="I19" s="66"/>
      <c r="J19" s="66"/>
    </row>
    <row r="20" spans="1:16" s="9" customFormat="1" ht="14.25" customHeight="1">
      <c r="A20" s="2"/>
      <c r="B20" s="60"/>
      <c r="C20" s="27"/>
      <c r="D20" s="265">
        <v>2</v>
      </c>
      <c r="E20" s="99" t="s">
        <v>461</v>
      </c>
      <c r="F20" s="37" t="s">
        <v>308</v>
      </c>
      <c r="G20" s="171"/>
      <c r="I20" s="66"/>
      <c r="J20" s="66"/>
    </row>
    <row r="21" spans="1:16" s="9" customFormat="1" ht="18.75" hidden="1" customHeight="1">
      <c r="A21" s="2"/>
      <c r="B21" s="60"/>
      <c r="C21" s="27"/>
      <c r="D21" s="201" t="s">
        <v>462</v>
      </c>
      <c r="E21" s="200"/>
      <c r="F21" s="199"/>
      <c r="G21" s="207"/>
      <c r="H21" s="202"/>
      <c r="I21" s="66"/>
      <c r="J21" s="66"/>
    </row>
    <row r="22" spans="1:16" ht="15" customHeight="1">
      <c r="A22" s="2"/>
      <c r="C22" s="27"/>
      <c r="D22" s="38"/>
      <c r="E22" s="107" t="s">
        <v>463</v>
      </c>
      <c r="F22" s="49"/>
      <c r="G22" s="205"/>
    </row>
    <row r="23" spans="1:16" s="9" customFormat="1" ht="22.5" hidden="1" customHeight="1">
      <c r="A23" s="2"/>
      <c r="B23" s="60"/>
      <c r="C23" s="27"/>
      <c r="D23" s="61" t="s">
        <v>103</v>
      </c>
      <c r="E23" s="102" t="s">
        <v>464</v>
      </c>
      <c r="F23" s="37" t="s">
        <v>308</v>
      </c>
      <c r="G23" s="64"/>
      <c r="I23" s="66"/>
      <c r="J23" s="66"/>
    </row>
    <row r="24" spans="1:16" s="9" customFormat="1" ht="14.25" hidden="1" customHeight="1">
      <c r="A24" s="2"/>
      <c r="B24" s="60"/>
      <c r="C24" s="27"/>
      <c r="D24" s="61" t="s">
        <v>465</v>
      </c>
      <c r="E24" s="99" t="s">
        <v>466</v>
      </c>
      <c r="F24" s="37" t="s">
        <v>308</v>
      </c>
      <c r="G24" s="171"/>
      <c r="I24" s="66"/>
      <c r="J24" s="66"/>
    </row>
    <row r="25" spans="1:16" s="9" customFormat="1" ht="14.25" hidden="1" customHeight="1">
      <c r="A25" s="2"/>
      <c r="B25" s="60"/>
      <c r="C25" s="27"/>
      <c r="D25" s="61" t="s">
        <v>467</v>
      </c>
      <c r="E25" s="100"/>
      <c r="F25" s="232"/>
      <c r="G25" s="1135" t="s">
        <v>468</v>
      </c>
      <c r="I25" s="66"/>
      <c r="J25" s="66"/>
    </row>
    <row r="26" spans="1:16" s="9" customFormat="1" ht="22.5" hidden="1" customHeight="1">
      <c r="A26" s="2"/>
      <c r="B26" s="60"/>
      <c r="C26" s="27"/>
      <c r="D26" s="38"/>
      <c r="E26" s="108" t="s">
        <v>469</v>
      </c>
      <c r="F26" s="49"/>
      <c r="G26" s="1137"/>
      <c r="I26" s="66"/>
      <c r="J26" s="66"/>
    </row>
    <row r="27" spans="1:16" ht="3" customHeight="1"/>
    <row r="28" spans="1:16" ht="14.25" customHeight="1">
      <c r="D28" s="204"/>
      <c r="E28" s="203"/>
      <c r="F28" s="1"/>
      <c r="G28" s="1"/>
      <c r="H28" s="1"/>
      <c r="I28" s="1"/>
      <c r="J28" s="1"/>
      <c r="K28" s="1"/>
      <c r="L28" s="1"/>
      <c r="M28" s="1"/>
      <c r="N28" s="1"/>
      <c r="O28" s="1"/>
      <c r="P28" s="1"/>
    </row>
    <row r="29" spans="1:16" ht="14.25" customHeight="1">
      <c r="D29" s="204"/>
      <c r="E29" s="1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0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0B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A5585-2EE9-A1DF-2062-B2C72223AE61}">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3"/>
      <c r="B2" s="793"/>
      <c r="C2" s="793"/>
      <c r="D2" s="793"/>
      <c r="E2" s="1287">
        <v>1</v>
      </c>
      <c r="F2" s="793"/>
      <c r="G2" s="793"/>
      <c r="H2" s="793"/>
      <c r="I2" s="793"/>
      <c r="J2" s="793"/>
      <c r="K2" s="793"/>
      <c r="L2" s="794"/>
      <c r="M2" s="433"/>
      <c r="N2" s="433"/>
      <c r="O2" s="433"/>
      <c r="Q2" s="2"/>
      <c r="R2" s="213"/>
      <c r="S2" s="725" t="e">
        <f>INDEX(PT_DIFFERENTIATION_NUM_NTAR,MATCH(A2,PT_DIFFERENTIATION_NTAR_ID,0))</f>
        <v>#N/A</v>
      </c>
      <c r="T2" s="64" t="s">
        <v>139</v>
      </c>
      <c r="U2" s="170"/>
      <c r="V2" s="1281"/>
      <c r="W2" s="1282"/>
      <c r="X2" s="1282"/>
      <c r="Y2" s="1282"/>
      <c r="Z2" s="1282"/>
      <c r="AA2" s="1282"/>
      <c r="AB2" s="1282"/>
      <c r="AC2" s="1283"/>
      <c r="AD2" s="1281" t="e">
        <f>INDEX(PT_DIFFERENTIATION_NTAR,MATCH(A2,PT_DIFFERENTIATION_NTAR_ID,0))</f>
        <v>#N/A</v>
      </c>
      <c r="AE2" s="1282"/>
      <c r="AF2" s="1282"/>
      <c r="AG2" s="1282"/>
      <c r="AH2" s="1282"/>
      <c r="AI2" s="1282"/>
      <c r="AJ2" s="1282"/>
      <c r="AK2" s="1282"/>
      <c r="AL2" s="1283"/>
      <c r="AM2" s="753" t="s">
        <v>470</v>
      </c>
      <c r="AO2" s="66"/>
      <c r="AP2" s="66" t="str">
        <f t="shared" ref="AP2:AP15" si="0">IF(T2="","",T2)</f>
        <v>Наименование тарифа</v>
      </c>
      <c r="AQ2" s="66"/>
      <c r="AR2" s="66"/>
    </row>
    <row r="3" spans="1:44" ht="21" hidden="1" customHeight="1">
      <c r="A3" s="793"/>
      <c r="B3" s="793"/>
      <c r="C3" s="793"/>
      <c r="D3" s="793"/>
      <c r="E3" s="1288"/>
      <c r="F3" s="1287">
        <v>1</v>
      </c>
      <c r="G3" s="793"/>
      <c r="H3" s="793"/>
      <c r="I3" s="793"/>
      <c r="J3" s="793"/>
      <c r="K3" s="793"/>
      <c r="L3" s="794"/>
      <c r="M3" s="433"/>
      <c r="N3" s="433"/>
      <c r="O3" s="433"/>
      <c r="P3" s="56"/>
      <c r="Q3" s="210"/>
      <c r="R3" s="211"/>
      <c r="S3" s="725" t="e">
        <f>INDEX(PT_DIFFERENTIATION_NUM_TER,MATCH(B3,PT_DIFFERENTIATION_TER_ID,0))</f>
        <v>#N/A</v>
      </c>
      <c r="T3" s="178" t="s">
        <v>471</v>
      </c>
      <c r="U3" s="170"/>
      <c r="V3" s="1281"/>
      <c r="W3" s="1282"/>
      <c r="X3" s="1282"/>
      <c r="Y3" s="1282"/>
      <c r="Z3" s="1282"/>
      <c r="AA3" s="1282"/>
      <c r="AB3" s="1282"/>
      <c r="AC3" s="1283"/>
      <c r="AD3" s="1281" t="e">
        <f>INDEX(PT_DIFFERENTIATION_TER,MATCH(B3,PT_DIFFERENTIATION_TER_ID,0))</f>
        <v>#N/A</v>
      </c>
      <c r="AE3" s="1282"/>
      <c r="AF3" s="1282"/>
      <c r="AG3" s="1282"/>
      <c r="AH3" s="1282"/>
      <c r="AI3" s="1282"/>
      <c r="AJ3" s="1282"/>
      <c r="AK3" s="1282"/>
      <c r="AL3" s="1283"/>
      <c r="AM3" s="753" t="s">
        <v>472</v>
      </c>
      <c r="AO3" s="66"/>
      <c r="AP3" s="66" t="str">
        <f t="shared" si="0"/>
        <v>Территория действия тарифа</v>
      </c>
      <c r="AQ3" s="66"/>
      <c r="AR3" s="66"/>
    </row>
    <row r="4" spans="1:44" ht="23.25" hidden="1" customHeight="1">
      <c r="A4" s="793"/>
      <c r="B4" s="793"/>
      <c r="C4" s="793"/>
      <c r="D4" s="793"/>
      <c r="E4" s="1288"/>
      <c r="F4" s="1288"/>
      <c r="G4" s="1287">
        <v>1</v>
      </c>
      <c r="H4" s="793"/>
      <c r="I4" s="793"/>
      <c r="J4" s="793"/>
      <c r="K4" s="793"/>
      <c r="L4" s="794"/>
      <c r="M4" s="433"/>
      <c r="N4" s="433"/>
      <c r="O4" s="433"/>
      <c r="P4" s="212"/>
      <c r="Q4" s="210"/>
      <c r="R4" s="211"/>
      <c r="S4" s="725" t="e">
        <f>INDEX(PT_DIFFERENTIATION_NUM_CS,MATCH(C4,PT_DIFFERENTIATION_CS_ID,0))</f>
        <v>#N/A</v>
      </c>
      <c r="T4" s="179" t="s">
        <v>473</v>
      </c>
      <c r="U4" s="170"/>
      <c r="V4" s="1281"/>
      <c r="W4" s="1282"/>
      <c r="X4" s="1282"/>
      <c r="Y4" s="1282"/>
      <c r="Z4" s="1282"/>
      <c r="AA4" s="1282"/>
      <c r="AB4" s="1282"/>
      <c r="AC4" s="1283"/>
      <c r="AD4" s="1281" t="e">
        <f>INDEX(PT_DIFFERENTIATION_CS,MATCH(C4,PT_DIFFERENTIATION_CS_ID,0))</f>
        <v>#N/A</v>
      </c>
      <c r="AE4" s="1282"/>
      <c r="AF4" s="1282"/>
      <c r="AG4" s="1282"/>
      <c r="AH4" s="1282"/>
      <c r="AI4" s="1282"/>
      <c r="AJ4" s="1282"/>
      <c r="AK4" s="1282"/>
      <c r="AL4" s="1283"/>
      <c r="AM4" s="753" t="s">
        <v>474</v>
      </c>
      <c r="AO4" s="66"/>
      <c r="AP4" s="66" t="str">
        <f t="shared" si="0"/>
        <v xml:space="preserve">Наименование системы теплоснабжения </v>
      </c>
      <c r="AQ4" s="66"/>
      <c r="AR4" s="66"/>
    </row>
    <row r="5" spans="1:44" ht="21" hidden="1" customHeight="1">
      <c r="A5" s="793"/>
      <c r="B5" s="793"/>
      <c r="C5" s="793"/>
      <c r="D5" s="793"/>
      <c r="E5" s="1288"/>
      <c r="F5" s="1288"/>
      <c r="G5" s="1288"/>
      <c r="H5" s="1287">
        <v>1</v>
      </c>
      <c r="I5" s="793"/>
      <c r="J5" s="793"/>
      <c r="K5" s="793"/>
      <c r="L5" s="794"/>
      <c r="M5" s="433"/>
      <c r="N5" s="433"/>
      <c r="O5" s="433"/>
      <c r="P5" s="212"/>
      <c r="Q5" s="210"/>
      <c r="R5" s="211"/>
      <c r="S5" s="725" t="e">
        <f>INDEX(PT_DIFFERENTIATION_NUM_IST_TE,MATCH(D5,PT_DIFFERENTIATION_IST_TE_ID,0))</f>
        <v>#N/A</v>
      </c>
      <c r="T5" s="180" t="s">
        <v>475</v>
      </c>
      <c r="U5" s="170"/>
      <c r="V5" s="1281"/>
      <c r="W5" s="1282"/>
      <c r="X5" s="1282"/>
      <c r="Y5" s="1282"/>
      <c r="Z5" s="1282"/>
      <c r="AA5" s="1282"/>
      <c r="AB5" s="1282"/>
      <c r="AC5" s="1283"/>
      <c r="AD5" s="1281" t="e">
        <f>INDEX(PT_DIFFERENTIATION_IST_TE,MATCH(D5,PT_DIFFERENTIATION_IST_TE_ID,0))</f>
        <v>#N/A</v>
      </c>
      <c r="AE5" s="1282"/>
      <c r="AF5" s="1282"/>
      <c r="AG5" s="1282"/>
      <c r="AH5" s="1282"/>
      <c r="AI5" s="1282"/>
      <c r="AJ5" s="1282"/>
      <c r="AK5" s="1282"/>
      <c r="AL5" s="1283"/>
      <c r="AM5" s="753" t="s">
        <v>476</v>
      </c>
      <c r="AO5" s="66"/>
      <c r="AP5" s="66" t="str">
        <f t="shared" si="0"/>
        <v xml:space="preserve">Источник тепловой энергии  </v>
      </c>
      <c r="AQ5" s="66"/>
      <c r="AR5" s="66"/>
    </row>
    <row r="6" spans="1:44" ht="47.25" hidden="1" customHeight="1">
      <c r="A6" s="793"/>
      <c r="B6" s="793"/>
      <c r="C6" s="793"/>
      <c r="D6" s="793"/>
      <c r="E6" s="1288"/>
      <c r="F6" s="1288"/>
      <c r="G6" s="1288"/>
      <c r="H6" s="1288"/>
      <c r="I6" s="1289" t="e">
        <f>S5&amp;".1"</f>
        <v>#N/A</v>
      </c>
      <c r="J6" s="793"/>
      <c r="K6" s="793"/>
      <c r="L6" s="794" t="s">
        <v>477</v>
      </c>
      <c r="M6" s="60"/>
      <c r="P6" s="1211">
        <v>1</v>
      </c>
      <c r="Q6" s="119"/>
      <c r="R6" s="214"/>
      <c r="S6" s="725" t="e">
        <f>$I6</f>
        <v>#N/A</v>
      </c>
      <c r="T6" s="163" t="s">
        <v>478</v>
      </c>
      <c r="U6" s="170"/>
      <c r="V6" s="1275"/>
      <c r="W6" s="1276"/>
      <c r="X6" s="1276"/>
      <c r="Y6" s="1276"/>
      <c r="Z6" s="1276"/>
      <c r="AA6" s="1276"/>
      <c r="AB6" s="1276"/>
      <c r="AC6" s="1277"/>
      <c r="AD6" s="1275"/>
      <c r="AE6" s="1276"/>
      <c r="AF6" s="1276"/>
      <c r="AG6" s="1276"/>
      <c r="AH6" s="1276"/>
      <c r="AI6" s="1276"/>
      <c r="AJ6" s="1276"/>
      <c r="AK6" s="1276"/>
      <c r="AL6" s="1277"/>
      <c r="AM6" s="753" t="s">
        <v>479</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3"/>
      <c r="B7" s="793"/>
      <c r="C7" s="793"/>
      <c r="D7" s="793"/>
      <c r="E7" s="1288"/>
      <c r="F7" s="1288"/>
      <c r="G7" s="1288"/>
      <c r="H7" s="1288"/>
      <c r="I7" s="1290"/>
      <c r="J7" s="1289" t="e">
        <f>I6&amp;".1"</f>
        <v>#N/A</v>
      </c>
      <c r="K7" s="793"/>
      <c r="L7" s="794" t="s">
        <v>480</v>
      </c>
      <c r="M7" s="60"/>
      <c r="N7" s="60"/>
      <c r="P7" s="1211"/>
      <c r="Q7" s="1211">
        <v>1</v>
      </c>
      <c r="R7" s="215"/>
      <c r="S7" s="725" t="e">
        <f>$J7</f>
        <v>#N/A</v>
      </c>
      <c r="T7" s="164" t="s">
        <v>481</v>
      </c>
      <c r="U7" s="170"/>
      <c r="V7" s="1275"/>
      <c r="W7" s="1276"/>
      <c r="X7" s="1276"/>
      <c r="Y7" s="1276"/>
      <c r="Z7" s="1276"/>
      <c r="AA7" s="1276"/>
      <c r="AB7" s="1276"/>
      <c r="AC7" s="1277"/>
      <c r="AD7" s="1275"/>
      <c r="AE7" s="1276"/>
      <c r="AF7" s="1276"/>
      <c r="AG7" s="1276"/>
      <c r="AH7" s="1276"/>
      <c r="AI7" s="1276"/>
      <c r="AJ7" s="1276"/>
      <c r="AK7" s="1276"/>
      <c r="AL7" s="1277"/>
      <c r="AM7" s="753" t="s">
        <v>482</v>
      </c>
      <c r="AO7" s="66"/>
      <c r="AP7" s="66" t="str">
        <f t="shared" si="0"/>
        <v>Группа потребителей</v>
      </c>
      <c r="AQ7" s="66"/>
      <c r="AR7" s="66"/>
    </row>
    <row r="8" spans="1:44" ht="21" hidden="1" customHeight="1">
      <c r="A8" s="793"/>
      <c r="B8" s="793"/>
      <c r="C8" s="793"/>
      <c r="D8" s="793"/>
      <c r="E8" s="1288"/>
      <c r="F8" s="1288"/>
      <c r="G8" s="1288"/>
      <c r="H8" s="1288"/>
      <c r="I8" s="1290"/>
      <c r="J8" s="1290"/>
      <c r="K8" s="1289" t="e">
        <f>J7&amp;".1"</f>
        <v>#N/A</v>
      </c>
      <c r="L8" s="794" t="s">
        <v>483</v>
      </c>
      <c r="M8" s="60"/>
      <c r="N8" s="60"/>
      <c r="O8" s="60"/>
      <c r="P8" s="1211"/>
      <c r="Q8" s="1211"/>
      <c r="R8" s="215">
        <v>1</v>
      </c>
      <c r="S8" s="725" t="e">
        <f>$K8</f>
        <v>#N/A</v>
      </c>
      <c r="T8" s="789"/>
      <c r="U8" s="170"/>
      <c r="V8" s="317"/>
      <c r="W8" s="196"/>
      <c r="X8" s="317"/>
      <c r="Y8" s="752"/>
      <c r="Z8" s="1291"/>
      <c r="AA8" s="1092" t="s">
        <v>59</v>
      </c>
      <c r="AB8" s="1291"/>
      <c r="AC8" s="1092" t="s">
        <v>59</v>
      </c>
      <c r="AD8" s="317"/>
      <c r="AE8" s="196"/>
      <c r="AF8" s="317"/>
      <c r="AG8" s="752"/>
      <c r="AH8" s="1291"/>
      <c r="AI8" s="1092" t="s">
        <v>59</v>
      </c>
      <c r="AJ8" s="1291"/>
      <c r="AK8" s="1092" t="s">
        <v>59</v>
      </c>
      <c r="AL8" s="196"/>
      <c r="AM8" s="1309" t="s">
        <v>484</v>
      </c>
      <c r="AN8" s="65" t="e">
        <f ca="1">STRCHECKDATE(V9:AL9)</f>
        <v>#NAME?</v>
      </c>
      <c r="AO8" s="66"/>
      <c r="AP8" s="66" t="str">
        <f t="shared" si="0"/>
        <v/>
      </c>
      <c r="AQ8" s="66"/>
      <c r="AR8" s="66"/>
    </row>
    <row r="9" spans="1:44" ht="0.75" hidden="1" customHeight="1">
      <c r="A9" s="793"/>
      <c r="B9" s="793"/>
      <c r="C9" s="793"/>
      <c r="D9" s="793"/>
      <c r="E9" s="1288"/>
      <c r="F9" s="1288"/>
      <c r="G9" s="1288"/>
      <c r="H9" s="1288"/>
      <c r="I9" s="1290"/>
      <c r="J9" s="1290"/>
      <c r="K9" s="1289"/>
      <c r="L9" s="794"/>
      <c r="M9" s="60"/>
      <c r="N9" s="60"/>
      <c r="O9" s="60"/>
      <c r="P9" s="1211"/>
      <c r="Q9" s="1211"/>
      <c r="R9" s="215"/>
      <c r="S9" s="62"/>
      <c r="T9" s="170"/>
      <c r="U9" s="170"/>
      <c r="V9" s="196"/>
      <c r="W9" s="196"/>
      <c r="X9" s="196"/>
      <c r="Y9" s="198" t="str">
        <f>Z8&amp;"-"&amp;AB8</f>
        <v>-</v>
      </c>
      <c r="Z9" s="1292"/>
      <c r="AA9" s="1092"/>
      <c r="AB9" s="1292"/>
      <c r="AC9" s="1092"/>
      <c r="AD9" s="196"/>
      <c r="AE9" s="196"/>
      <c r="AF9" s="196"/>
      <c r="AG9" s="198" t="str">
        <f>AH8&amp;"-"&amp;AJ8</f>
        <v>-</v>
      </c>
      <c r="AH9" s="1292"/>
      <c r="AI9" s="1092"/>
      <c r="AJ9" s="1292"/>
      <c r="AK9" s="1092"/>
      <c r="AL9" s="196"/>
      <c r="AM9" s="1310"/>
      <c r="AO9" s="66"/>
      <c r="AP9" s="66" t="str">
        <f t="shared" si="0"/>
        <v/>
      </c>
      <c r="AQ9" s="66"/>
      <c r="AR9" s="66"/>
    </row>
    <row r="10" spans="1:44" ht="15" hidden="1" customHeight="1">
      <c r="A10" s="793"/>
      <c r="B10" s="793"/>
      <c r="C10" s="793"/>
      <c r="D10" s="793"/>
      <c r="E10" s="1288"/>
      <c r="F10" s="1288"/>
      <c r="G10" s="1288"/>
      <c r="H10" s="1288"/>
      <c r="I10" s="1290"/>
      <c r="J10" s="1289"/>
      <c r="K10" s="793"/>
      <c r="L10" s="794"/>
      <c r="M10" s="60"/>
      <c r="N10" s="60"/>
      <c r="P10" s="1211"/>
      <c r="Q10" s="1211"/>
      <c r="R10" s="214"/>
      <c r="S10" s="767"/>
      <c r="T10" s="166" t="s">
        <v>485</v>
      </c>
      <c r="U10" s="221"/>
      <c r="V10" s="221"/>
      <c r="W10" s="221"/>
      <c r="X10" s="221"/>
      <c r="Y10" s="221"/>
      <c r="Z10" s="221"/>
      <c r="AA10" s="221"/>
      <c r="AB10" s="221"/>
      <c r="AC10" s="221"/>
      <c r="AD10" s="221"/>
      <c r="AE10" s="221"/>
      <c r="AF10" s="221"/>
      <c r="AG10" s="221"/>
      <c r="AH10" s="221"/>
      <c r="AI10" s="221"/>
      <c r="AJ10" s="221"/>
      <c r="AK10" s="221"/>
      <c r="AL10" s="195"/>
      <c r="AM10" s="1311"/>
      <c r="AO10" s="66"/>
      <c r="AP10" s="66" t="str">
        <f t="shared" si="0"/>
        <v>Добавить вид теплоносителя (параметры теплоносителя)</v>
      </c>
      <c r="AQ10" s="66"/>
      <c r="AR10" s="66"/>
    </row>
    <row r="11" spans="1:44" ht="15" hidden="1" customHeight="1">
      <c r="A11" s="793"/>
      <c r="B11" s="793"/>
      <c r="C11" s="793"/>
      <c r="D11" s="793"/>
      <c r="E11" s="1288"/>
      <c r="F11" s="1288"/>
      <c r="G11" s="1288"/>
      <c r="H11" s="1288"/>
      <c r="I11" s="1289"/>
      <c r="J11" s="793"/>
      <c r="K11" s="793"/>
      <c r="L11" s="794"/>
      <c r="M11" s="60"/>
      <c r="P11" s="1211"/>
      <c r="Q11" s="119"/>
      <c r="R11" s="214"/>
      <c r="S11" s="767"/>
      <c r="T11" s="165" t="s">
        <v>486</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3"/>
      <c r="B12" s="793"/>
      <c r="C12" s="793"/>
      <c r="D12" s="793"/>
      <c r="E12" s="1288"/>
      <c r="F12" s="1288"/>
      <c r="G12" s="1288"/>
      <c r="H12" s="1287"/>
      <c r="I12" s="793"/>
      <c r="J12" s="793"/>
      <c r="K12" s="793"/>
      <c r="L12" s="794"/>
      <c r="M12" s="433"/>
      <c r="N12" s="433"/>
      <c r="O12" s="60"/>
      <c r="P12" s="2"/>
      <c r="Q12" s="224"/>
      <c r="R12" s="213"/>
      <c r="S12" s="767"/>
      <c r="T12" s="219" t="s">
        <v>487</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88"/>
      <c r="F13" s="1288"/>
      <c r="G13" s="1287"/>
      <c r="H13" s="142"/>
      <c r="I13" s="142"/>
      <c r="J13" s="142"/>
      <c r="K13" s="142"/>
      <c r="L13" s="355"/>
      <c r="M13" s="304"/>
      <c r="N13" s="304"/>
      <c r="P13" s="101"/>
      <c r="Q13" s="780"/>
      <c r="R13" s="101"/>
      <c r="S13" s="781"/>
      <c r="T13" s="782" t="s">
        <v>444</v>
      </c>
      <c r="U13" s="783"/>
      <c r="V13" s="783"/>
      <c r="W13" s="783"/>
      <c r="X13" s="783"/>
      <c r="Y13" s="783"/>
      <c r="Z13" s="783"/>
      <c r="AA13" s="783"/>
      <c r="AB13" s="783"/>
      <c r="AC13" s="783"/>
      <c r="AD13" s="783"/>
      <c r="AE13" s="783"/>
      <c r="AF13" s="783"/>
      <c r="AG13" s="783"/>
      <c r="AH13" s="783"/>
      <c r="AI13" s="783"/>
      <c r="AJ13" s="783"/>
      <c r="AK13" s="783"/>
      <c r="AL13" s="783"/>
      <c r="AM13" s="783"/>
      <c r="AO13" s="66"/>
      <c r="AP13" s="66" t="str">
        <f t="shared" si="0"/>
        <v>Добавить источник для дифференциации</v>
      </c>
      <c r="AQ13" s="66"/>
      <c r="AR13" s="66"/>
    </row>
    <row r="14" spans="1:44" s="65" customFormat="1" ht="0.75" hidden="1" customHeight="1">
      <c r="A14" s="142"/>
      <c r="B14" s="142"/>
      <c r="C14" s="142"/>
      <c r="D14" s="142"/>
      <c r="E14" s="1288"/>
      <c r="F14" s="1287"/>
      <c r="G14" s="142"/>
      <c r="H14" s="142"/>
      <c r="I14" s="142"/>
      <c r="J14" s="142"/>
      <c r="K14" s="142"/>
      <c r="L14" s="355"/>
      <c r="M14" s="784"/>
      <c r="N14" s="784"/>
      <c r="P14" s="101"/>
      <c r="Q14" s="780"/>
      <c r="R14" s="101"/>
      <c r="S14" s="785"/>
      <c r="T14" s="786" t="s">
        <v>445</v>
      </c>
      <c r="U14" s="323"/>
      <c r="V14" s="323"/>
      <c r="W14" s="323"/>
      <c r="X14" s="323"/>
      <c r="Y14" s="323"/>
      <c r="Z14" s="323"/>
      <c r="AA14" s="323"/>
      <c r="AB14" s="323"/>
      <c r="AC14" s="323"/>
      <c r="AD14" s="323"/>
      <c r="AE14" s="323"/>
      <c r="AF14" s="323"/>
      <c r="AG14" s="323"/>
      <c r="AH14" s="323"/>
      <c r="AI14" s="323"/>
      <c r="AJ14" s="323"/>
      <c r="AK14" s="323"/>
      <c r="AL14" s="323"/>
      <c r="AM14" s="323"/>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87"/>
      <c r="F15" s="142"/>
      <c r="G15" s="142"/>
      <c r="H15" s="142"/>
      <c r="I15" s="142"/>
      <c r="J15" s="142"/>
      <c r="K15" s="142"/>
      <c r="L15" s="355"/>
      <c r="M15" s="784"/>
      <c r="N15" s="784"/>
      <c r="P15" s="101"/>
      <c r="Q15" s="780"/>
      <c r="R15" s="101"/>
      <c r="S15" s="785"/>
      <c r="T15" s="787" t="s">
        <v>446</v>
      </c>
      <c r="U15" s="323"/>
      <c r="V15" s="323"/>
      <c r="W15" s="323"/>
      <c r="X15" s="323"/>
      <c r="Y15" s="323"/>
      <c r="Z15" s="323"/>
      <c r="AA15" s="323"/>
      <c r="AB15" s="323"/>
      <c r="AC15" s="323"/>
      <c r="AD15" s="323"/>
      <c r="AE15" s="323"/>
      <c r="AF15" s="323"/>
      <c r="AG15" s="323"/>
      <c r="AH15" s="323"/>
      <c r="AI15" s="323"/>
      <c r="AJ15" s="323"/>
      <c r="AK15" s="323"/>
      <c r="AL15" s="323"/>
      <c r="AM15" s="323"/>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2"/>
      <c r="AH17" s="1285"/>
      <c r="AI17" s="1284" t="s">
        <v>59</v>
      </c>
      <c r="AJ17" s="1285"/>
      <c r="AK17" s="1284" t="s">
        <v>59</v>
      </c>
    </row>
    <row r="18" spans="1:44" ht="14.25" hidden="1" customHeight="1">
      <c r="AD18" s="376"/>
      <c r="AE18" s="376"/>
      <c r="AF18" s="376"/>
      <c r="AG18" s="198" t="str">
        <f>AH17&amp;"-"&amp;AJ17</f>
        <v>-</v>
      </c>
      <c r="AH18" s="1284"/>
      <c r="AI18" s="1284"/>
      <c r="AJ18" s="1284"/>
      <c r="AK18" s="1284"/>
    </row>
    <row r="19" spans="1:44" ht="14.25" hidden="1" customHeight="1"/>
    <row r="20" spans="1:44" s="60" customFormat="1" ht="22.5" hidden="1" customHeight="1">
      <c r="L20" s="312"/>
      <c r="M20" s="519"/>
      <c r="N20" s="519"/>
      <c r="O20" s="795" t="s">
        <v>488</v>
      </c>
      <c r="P20" s="519"/>
      <c r="Q20" s="796"/>
      <c r="R20" s="796"/>
      <c r="S20" s="433"/>
      <c r="Z20" s="795"/>
      <c r="AB20" s="795"/>
      <c r="AH20" s="795"/>
      <c r="AJ20" s="795"/>
      <c r="AN20" s="65"/>
      <c r="AO20" s="65"/>
      <c r="AP20" s="65"/>
      <c r="AQ20" s="65"/>
      <c r="AR20" s="65"/>
    </row>
    <row r="21" spans="1:44" s="60" customFormat="1" ht="14.25" hidden="1" customHeight="1">
      <c r="L21" s="312"/>
      <c r="M21" s="519"/>
      <c r="N21" s="519"/>
      <c r="O21" s="519"/>
      <c r="P21" s="519"/>
      <c r="Q21" s="796"/>
      <c r="R21" s="796"/>
      <c r="S21" s="433"/>
      <c r="AN21" s="65"/>
      <c r="AO21" s="65"/>
      <c r="AP21" s="65"/>
      <c r="AQ21" s="65"/>
      <c r="AR21" s="65"/>
    </row>
    <row r="22" spans="1:44" s="60" customFormat="1" ht="14.25" hidden="1" customHeight="1">
      <c r="L22" s="312"/>
      <c r="M22" s="519"/>
      <c r="N22" s="519"/>
      <c r="O22" s="794" t="s">
        <v>489</v>
      </c>
      <c r="P22" s="519"/>
      <c r="Q22" s="796"/>
      <c r="R22" s="796"/>
      <c r="S22" s="433"/>
      <c r="T22" s="60" t="s">
        <v>490</v>
      </c>
      <c r="AA22" s="79" t="s">
        <v>491</v>
      </c>
      <c r="AC22" s="79" t="s">
        <v>492</v>
      </c>
      <c r="AD22" s="60" t="s">
        <v>490</v>
      </c>
      <c r="AI22" s="79" t="s">
        <v>493</v>
      </c>
      <c r="AK22" s="79" t="s">
        <v>492</v>
      </c>
      <c r="AN22" s="65"/>
      <c r="AO22" s="65"/>
      <c r="AP22" s="65"/>
      <c r="AQ22" s="65"/>
      <c r="AR22" s="65"/>
    </row>
    <row r="23" spans="1:44" ht="14.25" hidden="1" customHeight="1">
      <c r="O23" s="794"/>
    </row>
    <row r="24" spans="1:44" ht="14.25" hidden="1" customHeight="1">
      <c r="O24" s="794"/>
    </row>
    <row r="25" spans="1:44" ht="14.25" customHeight="1">
      <c r="Q25" s="27"/>
      <c r="R25" s="27"/>
      <c r="S25" s="764"/>
      <c r="T25" s="8"/>
      <c r="U25" s="8"/>
    </row>
    <row r="26" spans="1:44" ht="64.5" customHeight="1">
      <c r="Q26" s="27"/>
      <c r="R26" s="27"/>
      <c r="S26" s="1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312"/>
      <c r="U26" s="1312"/>
      <c r="V26" s="1312"/>
      <c r="W26" s="1312"/>
      <c r="X26" s="1312"/>
      <c r="Y26" s="1312"/>
      <c r="Z26" s="1312"/>
      <c r="AA26" s="1312"/>
      <c r="AB26" s="1312"/>
      <c r="AC26" s="1312"/>
      <c r="AD26" s="1312"/>
      <c r="AE26" s="1312"/>
      <c r="AF26" s="1312"/>
      <c r="AG26" s="1312"/>
      <c r="AH26" s="1312"/>
      <c r="AI26" s="1312"/>
      <c r="AJ26" s="1312"/>
      <c r="AK26" s="57"/>
    </row>
    <row r="27" spans="1:44" ht="14.25" customHeight="1">
      <c r="Q27" s="27"/>
      <c r="R27" s="27"/>
      <c r="S27" s="1178" t="str">
        <f>IF(org=0,"Не определено",org)</f>
        <v>ООО "Концессионная Коммунальная Компания"</v>
      </c>
      <c r="T27" s="1178"/>
      <c r="U27" s="1178"/>
      <c r="V27" s="1178"/>
      <c r="W27" s="1178"/>
      <c r="X27" s="1178"/>
      <c r="Y27" s="1178"/>
      <c r="Z27" s="1178"/>
      <c r="AA27" s="1178"/>
      <c r="AB27" s="1178"/>
      <c r="AC27" s="1178"/>
      <c r="AD27" s="1178"/>
      <c r="AE27" s="1178"/>
      <c r="AF27" s="1178"/>
      <c r="AG27" s="1178"/>
      <c r="AH27" s="1178"/>
      <c r="AI27" s="1178"/>
      <c r="AJ27" s="1178"/>
      <c r="AK27" s="57"/>
    </row>
    <row r="28" spans="1:44" ht="14.25" hidden="1" customHeight="1">
      <c r="Q28" s="27"/>
      <c r="R28" s="27"/>
      <c r="S28" s="764"/>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4"/>
      <c r="M29" s="79"/>
      <c r="N29" s="79"/>
      <c r="O29" s="79"/>
      <c r="S29" s="1278" t="s">
        <v>40</v>
      </c>
      <c r="T29" s="1278"/>
      <c r="U29" s="797"/>
      <c r="V29" s="1280" t="str">
        <f>IF(TITLE_NAME_OR_PR_CHANGE="",IF(TITLE_NAME_OR_PR="","",TITLE_NAME_OR_PR),TITLE_NAME_OR_PR_CHANGE)</f>
        <v/>
      </c>
      <c r="W29" s="1280"/>
      <c r="X29" s="1280"/>
      <c r="Y29" s="1280"/>
      <c r="Z29" s="1280"/>
      <c r="AA29" s="1280"/>
      <c r="AB29" s="1280"/>
      <c r="AC29" s="9"/>
      <c r="AD29" s="1280" t="str">
        <f>IF(TITLE_NAME_OR_PR_CHANGE="",IF(TITLE_NAME_OR_PR="","",TITLE_NAME_OR_PR),TITLE_NAME_OR_PR_CHANGE)</f>
        <v/>
      </c>
      <c r="AE29" s="1280"/>
      <c r="AF29" s="1280"/>
      <c r="AG29" s="1280"/>
      <c r="AH29" s="1280"/>
      <c r="AI29" s="1280"/>
      <c r="AJ29" s="1280"/>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4"/>
      <c r="M30" s="79"/>
      <c r="N30" s="79"/>
      <c r="O30" s="79"/>
      <c r="S30" s="1278" t="s">
        <v>494</v>
      </c>
      <c r="T30" s="1278"/>
      <c r="U30" s="797"/>
      <c r="V30" s="1279" t="str">
        <f>IF(TITLE_DATE_CHANGE_PERIOD="",IF(TITLE_DATE_PR="","",TITLE_DATE_PR),TITLE_DATE_CHANGE_PERIOD)</f>
        <v/>
      </c>
      <c r="W30" s="1279"/>
      <c r="X30" s="1279"/>
      <c r="Y30" s="1279"/>
      <c r="Z30" s="1279"/>
      <c r="AA30" s="1279"/>
      <c r="AB30" s="1279"/>
      <c r="AC30" s="9"/>
      <c r="AD30" s="1279" t="str">
        <f>IF(TITLE_DATE_CHANGE_PERIOD="",IF(TITLE_DATE_PR="","",TITLE_DATE_PR),TITLE_DATE_CHANGE_PERIOD)</f>
        <v/>
      </c>
      <c r="AE30" s="1279"/>
      <c r="AF30" s="1279"/>
      <c r="AG30" s="1279"/>
      <c r="AH30" s="1279"/>
      <c r="AI30" s="1279"/>
      <c r="AJ30" s="1279"/>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4"/>
      <c r="M31" s="79"/>
      <c r="N31" s="79"/>
      <c r="O31" s="79"/>
      <c r="S31" s="1278" t="s">
        <v>495</v>
      </c>
      <c r="T31" s="1278"/>
      <c r="U31" s="797"/>
      <c r="V31" s="1280" t="str">
        <f>IF(TITLE_NUMBER_PR_CHANGE="",IF(TITLE_NUMBER_PR="","",TITLE_NUMBER_PR),TITLE_NUMBER_PR_CHANGE)</f>
        <v/>
      </c>
      <c r="W31" s="1280"/>
      <c r="X31" s="1280"/>
      <c r="Y31" s="1280"/>
      <c r="Z31" s="1280"/>
      <c r="AA31" s="1280"/>
      <c r="AB31" s="1280"/>
      <c r="AC31" s="9"/>
      <c r="AD31" s="1280" t="str">
        <f>IF(TITLE_NUMBER_PR_CHANGE="",IF(TITLE_NUMBER_PR="","",TITLE_NUMBER_PR),TITLE_NUMBER_PR_CHANGE)</f>
        <v/>
      </c>
      <c r="AE31" s="1280"/>
      <c r="AF31" s="1280"/>
      <c r="AG31" s="1280"/>
      <c r="AH31" s="1280"/>
      <c r="AI31" s="1280"/>
      <c r="AJ31" s="1280"/>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4"/>
      <c r="M32" s="79"/>
      <c r="N32" s="79"/>
      <c r="O32" s="79"/>
      <c r="S32" s="1278" t="s">
        <v>41</v>
      </c>
      <c r="T32" s="1278"/>
      <c r="U32" s="797"/>
      <c r="V32" s="1280" t="str">
        <f>IF(TITLE_IST_PUB_CHANGE="",IF(TITLE_IST_PUB="","",TITLE_IST_PUB),TITLE_IST_PUB_CHANGE)</f>
        <v/>
      </c>
      <c r="W32" s="1280"/>
      <c r="X32" s="1280"/>
      <c r="Y32" s="1280"/>
      <c r="Z32" s="1280"/>
      <c r="AA32" s="1280"/>
      <c r="AB32" s="1280"/>
      <c r="AC32" s="9"/>
      <c r="AD32" s="1280" t="str">
        <f>IF(TITLE_IST_PUB_CHANGE="",IF(TITLE_IST_PUB="","",TITLE_IST_PUB),TITLE_IST_PUB_CHANGE)</f>
        <v/>
      </c>
      <c r="AE32" s="1280"/>
      <c r="AF32" s="1280"/>
      <c r="AG32" s="1280"/>
      <c r="AH32" s="1280"/>
      <c r="AI32" s="1280"/>
      <c r="AJ32" s="1280"/>
      <c r="AK32" s="9"/>
      <c r="AL32" s="9"/>
      <c r="AM32" s="162"/>
      <c r="AN32" s="66"/>
      <c r="AO32" s="66"/>
      <c r="AP32" s="66"/>
      <c r="AQ32" s="66"/>
      <c r="AR32" s="66"/>
    </row>
    <row r="33" spans="1:44" ht="14.25" hidden="1" customHeight="1">
      <c r="Q33" s="27"/>
      <c r="R33" s="27"/>
      <c r="S33" s="764"/>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4"/>
      <c r="M34" s="79"/>
      <c r="N34" s="79"/>
      <c r="O34" s="79"/>
      <c r="S34" s="1278" t="s">
        <v>496</v>
      </c>
      <c r="T34" s="1278"/>
      <c r="U34" s="797"/>
      <c r="V34" s="1279" t="str">
        <f>IF(TITLE_DATE_CHANGE_PERIOD="",IF(TITLE_DATE_PR="","",TITLE_DATE_PR),TITLE_DATE_CHANGE_PERIOD)</f>
        <v/>
      </c>
      <c r="W34" s="1279"/>
      <c r="X34" s="1279"/>
      <c r="Y34" s="1279"/>
      <c r="Z34" s="1279"/>
      <c r="AA34" s="1279"/>
      <c r="AB34" s="1279"/>
      <c r="AC34" s="9"/>
      <c r="AD34" s="1279" t="str">
        <f>IF(TITLE_DATE_CHANGE_PERIOD="",IF(TITLE_DATE_PR="","",TITLE_DATE_PR),TITLE_DATE_CHANGE_PERIOD)</f>
        <v/>
      </c>
      <c r="AE34" s="1279"/>
      <c r="AF34" s="1279"/>
      <c r="AG34" s="1279"/>
      <c r="AH34" s="1279"/>
      <c r="AI34" s="1279"/>
      <c r="AJ34" s="1279"/>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4"/>
      <c r="M35" s="79"/>
      <c r="N35" s="79"/>
      <c r="O35" s="79"/>
      <c r="S35" s="1278" t="s">
        <v>497</v>
      </c>
      <c r="T35" s="1278"/>
      <c r="U35" s="797"/>
      <c r="V35" s="1280" t="str">
        <f>IF(TITLE_NUMBER_PR_CHANGE="",IF(TITLE_NUMBER_PR="","",TITLE_NUMBER_PR),TITLE_NUMBER_PR_CHANGE)</f>
        <v/>
      </c>
      <c r="W35" s="1280"/>
      <c r="X35" s="1280"/>
      <c r="Y35" s="1280"/>
      <c r="Z35" s="1280"/>
      <c r="AA35" s="1280"/>
      <c r="AB35" s="1280"/>
      <c r="AC35" s="9"/>
      <c r="AD35" s="1280" t="str">
        <f>IF(TITLE_NUMBER_PR_CHANGE="",IF(TITLE_NUMBER_PR="","",TITLE_NUMBER_PR),TITLE_NUMBER_PR_CHANGE)</f>
        <v/>
      </c>
      <c r="AE35" s="1280"/>
      <c r="AF35" s="1280"/>
      <c r="AG35" s="1280"/>
      <c r="AH35" s="1280"/>
      <c r="AI35" s="1280"/>
      <c r="AJ35" s="1280"/>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4"/>
      <c r="M36" s="79"/>
      <c r="N36" s="79"/>
      <c r="O36" s="79"/>
      <c r="S36" s="9"/>
      <c r="T36" s="9"/>
      <c r="U36" s="75"/>
      <c r="V36" s="9"/>
      <c r="W36" s="9"/>
      <c r="X36" s="9"/>
      <c r="Y36" s="9"/>
      <c r="Z36" s="9"/>
      <c r="AA36" s="9"/>
      <c r="AB36" s="9"/>
      <c r="AC36" s="65" t="s">
        <v>498</v>
      </c>
      <c r="AD36" s="9"/>
      <c r="AE36" s="9"/>
      <c r="AF36" s="9"/>
      <c r="AG36" s="9"/>
      <c r="AH36" s="9"/>
      <c r="AI36" s="9"/>
      <c r="AJ36" s="9"/>
      <c r="AK36" s="65" t="s">
        <v>498</v>
      </c>
      <c r="AN36" s="66"/>
      <c r="AO36" s="66"/>
      <c r="AP36" s="66"/>
      <c r="AQ36" s="66"/>
      <c r="AR36" s="66"/>
    </row>
    <row r="37" spans="1:44" ht="14.25" customHeight="1">
      <c r="Q37" s="27"/>
      <c r="R37" s="27"/>
      <c r="S37" s="764"/>
      <c r="T37" s="8"/>
      <c r="U37" s="736"/>
      <c r="V37" s="1298"/>
      <c r="W37" s="1298"/>
      <c r="X37" s="1298"/>
      <c r="Y37" s="1298"/>
      <c r="Z37" s="1298"/>
      <c r="AA37" s="1298"/>
      <c r="AB37" s="1298"/>
      <c r="AC37" s="1298"/>
      <c r="AD37" s="1298"/>
      <c r="AE37" s="1298"/>
      <c r="AF37" s="1298"/>
      <c r="AG37" s="1298"/>
      <c r="AH37" s="1298"/>
      <c r="AI37" s="1298"/>
      <c r="AJ37" s="1298"/>
      <c r="AK37" s="1298"/>
    </row>
    <row r="38" spans="1:44" ht="14.25" customHeight="1">
      <c r="Q38" s="27"/>
      <c r="R38" s="27"/>
      <c r="S38" s="1082" t="s">
        <v>302</v>
      </c>
      <c r="T38" s="1082"/>
      <c r="U38" s="1082"/>
      <c r="V38" s="1082"/>
      <c r="W38" s="1082"/>
      <c r="X38" s="1082"/>
      <c r="Y38" s="1082"/>
      <c r="Z38" s="1082"/>
      <c r="AA38" s="1082"/>
      <c r="AB38" s="1082"/>
      <c r="AC38" s="1082"/>
      <c r="AD38" s="1082"/>
      <c r="AE38" s="1082"/>
      <c r="AF38" s="1082"/>
      <c r="AG38" s="1082"/>
      <c r="AH38" s="1082"/>
      <c r="AI38" s="1082"/>
      <c r="AJ38" s="1082"/>
      <c r="AK38" s="1082"/>
      <c r="AL38" s="1082"/>
      <c r="AM38" s="1082" t="s">
        <v>303</v>
      </c>
    </row>
    <row r="39" spans="1:44" ht="14.25" customHeight="1">
      <c r="Q39" s="27"/>
      <c r="R39" s="27"/>
      <c r="S39" s="1299" t="s">
        <v>88</v>
      </c>
      <c r="T39" s="1176" t="s">
        <v>499</v>
      </c>
      <c r="U39" s="171"/>
      <c r="V39" s="1300" t="s">
        <v>500</v>
      </c>
      <c r="W39" s="1301"/>
      <c r="X39" s="1301"/>
      <c r="Y39" s="1301"/>
      <c r="Z39" s="1301"/>
      <c r="AA39" s="1301"/>
      <c r="AB39" s="1302"/>
      <c r="AC39" s="1303" t="s">
        <v>501</v>
      </c>
      <c r="AD39" s="1300" t="s">
        <v>500</v>
      </c>
      <c r="AE39" s="1301"/>
      <c r="AF39" s="1301"/>
      <c r="AG39" s="1301"/>
      <c r="AH39" s="1301"/>
      <c r="AI39" s="1301"/>
      <c r="AJ39" s="1302"/>
      <c r="AK39" s="1303" t="s">
        <v>502</v>
      </c>
      <c r="AL39" s="1306" t="s">
        <v>503</v>
      </c>
      <c r="AM39" s="1082"/>
    </row>
    <row r="40" spans="1:44" ht="33.75" customHeight="1">
      <c r="Q40" s="27"/>
      <c r="R40" s="27"/>
      <c r="S40" s="1299"/>
      <c r="T40" s="1176"/>
      <c r="U40" s="621"/>
      <c r="V40" s="1145" t="s">
        <v>504</v>
      </c>
      <c r="W40" s="1295" t="s">
        <v>505</v>
      </c>
      <c r="X40" s="1063" t="s">
        <v>506</v>
      </c>
      <c r="Y40" s="1062"/>
      <c r="Z40" s="1063" t="s">
        <v>507</v>
      </c>
      <c r="AA40" s="1068"/>
      <c r="AB40" s="1062"/>
      <c r="AC40" s="1304"/>
      <c r="AD40" s="1145" t="s">
        <v>504</v>
      </c>
      <c r="AE40" s="1295" t="s">
        <v>505</v>
      </c>
      <c r="AF40" s="1063" t="s">
        <v>506</v>
      </c>
      <c r="AG40" s="1062"/>
      <c r="AH40" s="1063" t="s">
        <v>507</v>
      </c>
      <c r="AI40" s="1068"/>
      <c r="AJ40" s="1062"/>
      <c r="AK40" s="1304"/>
      <c r="AL40" s="1307"/>
      <c r="AM40" s="1082"/>
    </row>
    <row r="41" spans="1:44" ht="33.75" customHeight="1">
      <c r="A41" s="79"/>
      <c r="B41" s="79" t="s">
        <v>151</v>
      </c>
      <c r="C41" s="79" t="s">
        <v>152</v>
      </c>
      <c r="D41" s="79" t="s">
        <v>153</v>
      </c>
      <c r="E41" s="794" t="s">
        <v>508</v>
      </c>
      <c r="F41" s="794" t="s">
        <v>509</v>
      </c>
      <c r="G41" s="794" t="s">
        <v>510</v>
      </c>
      <c r="H41" s="794" t="s">
        <v>511</v>
      </c>
      <c r="I41" s="794" t="s">
        <v>512</v>
      </c>
      <c r="J41" s="794" t="s">
        <v>513</v>
      </c>
      <c r="K41" s="794" t="s">
        <v>514</v>
      </c>
      <c r="L41" s="794" t="s">
        <v>489</v>
      </c>
      <c r="Q41" s="27"/>
      <c r="R41" s="27"/>
      <c r="S41" s="1299"/>
      <c r="T41" s="1176"/>
      <c r="U41" s="172"/>
      <c r="V41" s="1200"/>
      <c r="W41" s="1296"/>
      <c r="X41" s="37" t="s">
        <v>515</v>
      </c>
      <c r="Y41" s="37" t="s">
        <v>516</v>
      </c>
      <c r="Z41" s="37" t="s">
        <v>517</v>
      </c>
      <c r="AA41" s="1182" t="s">
        <v>518</v>
      </c>
      <c r="AB41" s="1195"/>
      <c r="AC41" s="1305"/>
      <c r="AD41" s="1200"/>
      <c r="AE41" s="1296"/>
      <c r="AF41" s="37" t="s">
        <v>515</v>
      </c>
      <c r="AG41" s="37" t="s">
        <v>516</v>
      </c>
      <c r="AH41" s="37" t="s">
        <v>517</v>
      </c>
      <c r="AI41" s="1182" t="s">
        <v>518</v>
      </c>
      <c r="AJ41" s="1195"/>
      <c r="AK41" s="1305"/>
      <c r="AL41" s="1308"/>
      <c r="AM41" s="1082"/>
    </row>
    <row r="42" spans="1:44" s="209" customFormat="1" ht="11.25" hidden="1" customHeight="1">
      <c r="A42" s="79"/>
      <c r="B42" s="79"/>
      <c r="C42" s="79"/>
      <c r="D42" s="79"/>
      <c r="E42" s="79"/>
      <c r="F42" s="79"/>
      <c r="G42" s="79"/>
      <c r="H42" s="79"/>
      <c r="I42" s="79"/>
      <c r="J42" s="79"/>
      <c r="K42" s="79"/>
      <c r="L42" s="794"/>
      <c r="M42" s="519"/>
      <c r="N42" s="519"/>
      <c r="O42" s="519"/>
      <c r="P42" s="738"/>
      <c r="Q42" s="739"/>
      <c r="R42" s="747">
        <v>1</v>
      </c>
      <c r="S42" s="766" t="s">
        <v>119</v>
      </c>
      <c r="T42" s="748" t="s">
        <v>103</v>
      </c>
      <c r="U42" s="737" t="str">
        <f ca="1">OFFSET(U42,0,-1)</f>
        <v>2</v>
      </c>
      <c r="V42" s="749">
        <f ca="1">OFFSET(V42,0,-1)+1</f>
        <v>3</v>
      </c>
      <c r="W42" s="749"/>
      <c r="X42" s="749">
        <f ca="1">OFFSET(X42,0,-1)+1</f>
        <v>1</v>
      </c>
      <c r="Y42" s="749">
        <f ca="1">OFFSET(Y42,0,-1)+1</f>
        <v>2</v>
      </c>
      <c r="Z42" s="749">
        <f ca="1">OFFSET(Z42,0,-1)+1</f>
        <v>3</v>
      </c>
      <c r="AA42" s="1297">
        <f ca="1">OFFSET(AA42,0,-1)+1</f>
        <v>4</v>
      </c>
      <c r="AB42" s="1297"/>
      <c r="AC42" s="749">
        <f ca="1">OFFSET(AC42,0,-2)+1</f>
        <v>5</v>
      </c>
      <c r="AD42" s="749">
        <f ca="1">OFFSET(AD42,0,-1)+1</f>
        <v>6</v>
      </c>
      <c r="AE42" s="749"/>
      <c r="AF42" s="749">
        <f ca="1">OFFSET(AF42,0,-1)+1</f>
        <v>1</v>
      </c>
      <c r="AG42" s="749">
        <f ca="1">OFFSET(AG42,0,-1)+1</f>
        <v>2</v>
      </c>
      <c r="AH42" s="749">
        <f ca="1">OFFSET(AH42,0,-1)+1</f>
        <v>3</v>
      </c>
      <c r="AI42" s="1297">
        <f ca="1">OFFSET(AI42,0,-1)+1</f>
        <v>4</v>
      </c>
      <c r="AJ42" s="1297"/>
      <c r="AK42" s="749">
        <f ca="1">OFFSET(AK42,0,-2)+1</f>
        <v>5</v>
      </c>
      <c r="AL42" s="737">
        <f ca="1">OFFSET(AL42,0,-1)</f>
        <v>5</v>
      </c>
      <c r="AM42" s="749">
        <f ca="1">OFFSET(AM42,0,-1)+1</f>
        <v>6</v>
      </c>
      <c r="AN42" s="65"/>
      <c r="AO42" s="65"/>
      <c r="AP42" s="65"/>
      <c r="AQ42" s="65"/>
      <c r="AR42" s="65"/>
    </row>
    <row r="43" spans="1:44" ht="23.25" customHeight="1">
      <c r="A43" s="793" t="s">
        <v>172</v>
      </c>
      <c r="B43" s="793"/>
      <c r="C43" s="793"/>
      <c r="D43" s="793"/>
      <c r="E43" s="1287">
        <v>1</v>
      </c>
      <c r="F43" s="793"/>
      <c r="G43" s="793"/>
      <c r="H43" s="793"/>
      <c r="I43" s="793"/>
      <c r="J43" s="793"/>
      <c r="K43" s="793"/>
      <c r="L43" s="794"/>
      <c r="M43" s="433"/>
      <c r="N43" s="433"/>
      <c r="O43" s="433"/>
      <c r="Q43" s="2"/>
      <c r="R43" s="213"/>
      <c r="S43" s="725">
        <f>INDEX(PT_DIFFERENTIATION_NUM_NTAR,MATCH(A43,PT_DIFFERENTIATION_NTAR_ID,0))</f>
        <v>0</v>
      </c>
      <c r="T43" s="64" t="s">
        <v>139</v>
      </c>
      <c r="U43" s="170"/>
      <c r="V43" s="1281"/>
      <c r="W43" s="1282"/>
      <c r="X43" s="1282"/>
      <c r="Y43" s="1282"/>
      <c r="Z43" s="1282"/>
      <c r="AA43" s="1282"/>
      <c r="AB43" s="1282"/>
      <c r="AC43" s="1283"/>
      <c r="AD43" s="1281" t="str">
        <f>INDEX(PT_DIFFERENTIATION_NTAR,MATCH(A43,PT_DIFFERENTIATION_NTAR_ID,0))</f>
        <v/>
      </c>
      <c r="AE43" s="1282"/>
      <c r="AF43" s="1282"/>
      <c r="AG43" s="1282"/>
      <c r="AH43" s="1282"/>
      <c r="AI43" s="1282"/>
      <c r="AJ43" s="1282"/>
      <c r="AK43" s="1282"/>
      <c r="AL43" s="1283"/>
      <c r="AM43" s="75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3.25" customHeight="1">
      <c r="A44" s="793" t="s">
        <v>172</v>
      </c>
      <c r="B44" s="793" t="s">
        <v>173</v>
      </c>
      <c r="C44" s="793"/>
      <c r="D44" s="793"/>
      <c r="E44" s="1288"/>
      <c r="F44" s="1287">
        <v>1</v>
      </c>
      <c r="G44" s="793"/>
      <c r="H44" s="793"/>
      <c r="I44" s="793"/>
      <c r="J44" s="793"/>
      <c r="K44" s="793"/>
      <c r="L44" s="794"/>
      <c r="M44" s="433"/>
      <c r="N44" s="433"/>
      <c r="O44" s="433"/>
      <c r="P44" s="56"/>
      <c r="Q44" s="210"/>
      <c r="R44" s="211"/>
      <c r="S44" s="725" t="str">
        <f>INDEX(PT_DIFFERENTIATION_NUM_TER,MATCH(B44,PT_DIFFERENTIATION_TER_ID,0))</f>
        <v>.</v>
      </c>
      <c r="T44" s="178" t="s">
        <v>471</v>
      </c>
      <c r="U44" s="170"/>
      <c r="V44" s="1281"/>
      <c r="W44" s="1282"/>
      <c r="X44" s="1282"/>
      <c r="Y44" s="1282"/>
      <c r="Z44" s="1282"/>
      <c r="AA44" s="1282"/>
      <c r="AB44" s="1282"/>
      <c r="AC44" s="1283"/>
      <c r="AD44" s="1281" t="str">
        <f>INDEX(PT_DIFFERENTIATION_TER,MATCH(B44,PT_DIFFERENTIATION_TER_ID,0))</f>
        <v/>
      </c>
      <c r="AE44" s="1282"/>
      <c r="AF44" s="1282"/>
      <c r="AG44" s="1282"/>
      <c r="AH44" s="1282"/>
      <c r="AI44" s="1282"/>
      <c r="AJ44" s="1282"/>
      <c r="AK44" s="1282"/>
      <c r="AL44" s="1283"/>
      <c r="AM44" s="753" t="s">
        <v>472</v>
      </c>
      <c r="AO44" s="66"/>
      <c r="AP44" s="66" t="str">
        <f t="shared" si="1"/>
        <v>Территория действия тарифа</v>
      </c>
      <c r="AQ44" s="66"/>
      <c r="AR44" s="66"/>
    </row>
    <row r="45" spans="1:44" ht="23.25" customHeight="1">
      <c r="A45" s="793" t="s">
        <v>172</v>
      </c>
      <c r="B45" s="793" t="s">
        <v>173</v>
      </c>
      <c r="C45" s="793" t="s">
        <v>174</v>
      </c>
      <c r="D45" s="793"/>
      <c r="E45" s="1288"/>
      <c r="F45" s="1288"/>
      <c r="G45" s="1287">
        <v>1</v>
      </c>
      <c r="H45" s="793"/>
      <c r="I45" s="793"/>
      <c r="J45" s="793"/>
      <c r="K45" s="793"/>
      <c r="L45" s="794"/>
      <c r="M45" s="433"/>
      <c r="N45" s="433"/>
      <c r="O45" s="433"/>
      <c r="P45" s="212"/>
      <c r="Q45" s="210"/>
      <c r="R45" s="211"/>
      <c r="S45" s="725" t="str">
        <f>INDEX(PT_DIFFERENTIATION_NUM_CS,MATCH(C45,PT_DIFFERENTIATION_CS_ID,0))</f>
        <v>..</v>
      </c>
      <c r="T45" s="179" t="s">
        <v>473</v>
      </c>
      <c r="U45" s="170"/>
      <c r="V45" s="1281"/>
      <c r="W45" s="1282"/>
      <c r="X45" s="1282"/>
      <c r="Y45" s="1282"/>
      <c r="Z45" s="1282"/>
      <c r="AA45" s="1282"/>
      <c r="AB45" s="1282"/>
      <c r="AC45" s="1283"/>
      <c r="AD45" s="1281" t="str">
        <f>INDEX(PT_DIFFERENTIATION_CS,MATCH(C45,PT_DIFFERENTIATION_CS_ID,0))</f>
        <v/>
      </c>
      <c r="AE45" s="1282"/>
      <c r="AF45" s="1282"/>
      <c r="AG45" s="1282"/>
      <c r="AH45" s="1282"/>
      <c r="AI45" s="1282"/>
      <c r="AJ45" s="1282"/>
      <c r="AK45" s="1282"/>
      <c r="AL45" s="1283"/>
      <c r="AM45" s="753" t="s">
        <v>474</v>
      </c>
      <c r="AO45" s="66"/>
      <c r="AP45" s="66" t="str">
        <f t="shared" si="1"/>
        <v xml:space="preserve">Наименование системы теплоснабжения </v>
      </c>
      <c r="AQ45" s="66"/>
      <c r="AR45" s="66"/>
    </row>
    <row r="46" spans="1:44" ht="23.25" customHeight="1">
      <c r="A46" s="793" t="s">
        <v>172</v>
      </c>
      <c r="B46" s="793" t="s">
        <v>173</v>
      </c>
      <c r="C46" s="793" t="s">
        <v>174</v>
      </c>
      <c r="D46" s="793" t="s">
        <v>175</v>
      </c>
      <c r="E46" s="1288"/>
      <c r="F46" s="1288"/>
      <c r="G46" s="1288"/>
      <c r="H46" s="1287">
        <v>1</v>
      </c>
      <c r="I46" s="793"/>
      <c r="J46" s="793"/>
      <c r="K46" s="793"/>
      <c r="L46" s="794"/>
      <c r="M46" s="433"/>
      <c r="N46" s="433"/>
      <c r="O46" s="433"/>
      <c r="P46" s="212"/>
      <c r="Q46" s="210"/>
      <c r="R46" s="211"/>
      <c r="S46" s="725" t="str">
        <f>INDEX(PT_DIFFERENTIATION_NUM_IST_TE,MATCH(D46,PT_DIFFERENTIATION_IST_TE_ID,0))</f>
        <v>...</v>
      </c>
      <c r="T46" s="180" t="s">
        <v>475</v>
      </c>
      <c r="U46" s="170"/>
      <c r="V46" s="1281"/>
      <c r="W46" s="1282"/>
      <c r="X46" s="1282"/>
      <c r="Y46" s="1282"/>
      <c r="Z46" s="1282"/>
      <c r="AA46" s="1282"/>
      <c r="AB46" s="1282"/>
      <c r="AC46" s="1283"/>
      <c r="AD46" s="1281" t="str">
        <f>INDEX(PT_DIFFERENTIATION_IST_TE,MATCH(D46,PT_DIFFERENTIATION_IST_TE_ID,0))</f>
        <v/>
      </c>
      <c r="AE46" s="1282"/>
      <c r="AF46" s="1282"/>
      <c r="AG46" s="1282"/>
      <c r="AH46" s="1282"/>
      <c r="AI46" s="1282"/>
      <c r="AJ46" s="1282"/>
      <c r="AK46" s="1282"/>
      <c r="AL46" s="1283"/>
      <c r="AM46" s="753" t="s">
        <v>476</v>
      </c>
      <c r="AO46" s="66"/>
      <c r="AP46" s="66" t="str">
        <f t="shared" si="1"/>
        <v xml:space="preserve">Источник тепловой энергии  </v>
      </c>
      <c r="AQ46" s="66"/>
      <c r="AR46" s="66"/>
    </row>
    <row r="47" spans="1:44" ht="47.25" customHeight="1">
      <c r="A47" s="793" t="s">
        <v>172</v>
      </c>
      <c r="B47" s="793" t="s">
        <v>173</v>
      </c>
      <c r="C47" s="793" t="s">
        <v>174</v>
      </c>
      <c r="D47" s="793" t="s">
        <v>175</v>
      </c>
      <c r="E47" s="1288"/>
      <c r="F47" s="1288"/>
      <c r="G47" s="1288"/>
      <c r="H47" s="1288"/>
      <c r="I47" s="1289" t="str">
        <f>S46&amp;".1"</f>
        <v>....1</v>
      </c>
      <c r="J47" s="793"/>
      <c r="K47" s="793"/>
      <c r="L47" s="794" t="s">
        <v>477</v>
      </c>
      <c r="P47" s="1211">
        <v>1</v>
      </c>
      <c r="Q47" s="119"/>
      <c r="R47" s="214"/>
      <c r="S47" s="725" t="str">
        <f>$I47</f>
        <v>....1</v>
      </c>
      <c r="T47" s="163" t="s">
        <v>478</v>
      </c>
      <c r="U47" s="170"/>
      <c r="V47" s="1275"/>
      <c r="W47" s="1276"/>
      <c r="X47" s="1276"/>
      <c r="Y47" s="1276"/>
      <c r="Z47" s="1276"/>
      <c r="AA47" s="1276"/>
      <c r="AB47" s="1276"/>
      <c r="AC47" s="1277"/>
      <c r="AD47" s="1275"/>
      <c r="AE47" s="1276"/>
      <c r="AF47" s="1276"/>
      <c r="AG47" s="1276"/>
      <c r="AH47" s="1276"/>
      <c r="AI47" s="1276"/>
      <c r="AJ47" s="1276"/>
      <c r="AK47" s="1276"/>
      <c r="AL47" s="1277"/>
      <c r="AM47" s="753" t="s">
        <v>479</v>
      </c>
      <c r="AO47" s="66"/>
      <c r="AP47" s="66" t="str">
        <f t="shared" si="1"/>
        <v>Схема подключения теплопотребляющей установки к коллектору источника тепловой энергии</v>
      </c>
      <c r="AQ47" s="66"/>
      <c r="AR47" s="66"/>
    </row>
    <row r="48" spans="1:44" ht="23.25" customHeight="1">
      <c r="A48" s="793" t="s">
        <v>172</v>
      </c>
      <c r="B48" s="793" t="s">
        <v>173</v>
      </c>
      <c r="C48" s="793" t="s">
        <v>174</v>
      </c>
      <c r="D48" s="793" t="s">
        <v>175</v>
      </c>
      <c r="E48" s="1288"/>
      <c r="F48" s="1288"/>
      <c r="G48" s="1288"/>
      <c r="H48" s="1288"/>
      <c r="I48" s="1290"/>
      <c r="J48" s="1289" t="str">
        <f>I47&amp;".1"</f>
        <v>....1.1</v>
      </c>
      <c r="K48" s="793"/>
      <c r="L48" s="794" t="s">
        <v>480</v>
      </c>
      <c r="P48" s="1211"/>
      <c r="Q48" s="1211">
        <v>1</v>
      </c>
      <c r="R48" s="215"/>
      <c r="S48" s="725" t="str">
        <f>$J48</f>
        <v>....1.1</v>
      </c>
      <c r="T48" s="164" t="s">
        <v>481</v>
      </c>
      <c r="U48" s="170"/>
      <c r="V48" s="1275"/>
      <c r="W48" s="1276"/>
      <c r="X48" s="1276"/>
      <c r="Y48" s="1276"/>
      <c r="Z48" s="1276"/>
      <c r="AA48" s="1276"/>
      <c r="AB48" s="1276"/>
      <c r="AC48" s="1277"/>
      <c r="AD48" s="1275"/>
      <c r="AE48" s="1276"/>
      <c r="AF48" s="1276"/>
      <c r="AG48" s="1276"/>
      <c r="AH48" s="1276"/>
      <c r="AI48" s="1276"/>
      <c r="AJ48" s="1276"/>
      <c r="AK48" s="1276"/>
      <c r="AL48" s="1277"/>
      <c r="AM48" s="753" t="s">
        <v>482</v>
      </c>
      <c r="AO48" s="66"/>
      <c r="AP48" s="66" t="str">
        <f t="shared" si="1"/>
        <v>Группа потребителей</v>
      </c>
      <c r="AQ48" s="66"/>
      <c r="AR48" s="66"/>
    </row>
    <row r="49" spans="1:44" ht="23.25" customHeight="1">
      <c r="A49" s="793" t="s">
        <v>172</v>
      </c>
      <c r="B49" s="793" t="s">
        <v>173</v>
      </c>
      <c r="C49" s="793" t="s">
        <v>174</v>
      </c>
      <c r="D49" s="793" t="s">
        <v>175</v>
      </c>
      <c r="E49" s="1288"/>
      <c r="F49" s="1288"/>
      <c r="G49" s="1288"/>
      <c r="H49" s="1288"/>
      <c r="I49" s="1290"/>
      <c r="J49" s="1290"/>
      <c r="K49" s="1289" t="str">
        <f>J48&amp;".1"</f>
        <v>....1.1.1</v>
      </c>
      <c r="L49" s="794" t="s">
        <v>483</v>
      </c>
      <c r="P49" s="1211"/>
      <c r="Q49" s="1211"/>
      <c r="R49" s="215">
        <v>1</v>
      </c>
      <c r="S49" s="725" t="str">
        <f>$K49</f>
        <v>....1.1.1</v>
      </c>
      <c r="T49" s="789"/>
      <c r="U49" s="170"/>
      <c r="V49" s="317"/>
      <c r="W49" s="196"/>
      <c r="X49" s="317"/>
      <c r="Y49" s="752"/>
      <c r="Z49" s="1291"/>
      <c r="AA49" s="1092" t="s">
        <v>59</v>
      </c>
      <c r="AB49" s="1291"/>
      <c r="AC49" s="1092" t="s">
        <v>59</v>
      </c>
      <c r="AD49" s="317"/>
      <c r="AE49" s="196"/>
      <c r="AF49" s="317"/>
      <c r="AG49" s="752"/>
      <c r="AH49" s="1291"/>
      <c r="AI49" s="1092" t="s">
        <v>59</v>
      </c>
      <c r="AJ49" s="1293"/>
      <c r="AK49" s="1092" t="s">
        <v>59</v>
      </c>
      <c r="AL49" s="790"/>
      <c r="AM49" s="1309" t="s">
        <v>484</v>
      </c>
      <c r="AN49" s="65" t="e">
        <f ca="1">STRCHECKDATE(V50:AL50)</f>
        <v>#NAME?</v>
      </c>
      <c r="AO49" s="66"/>
      <c r="AP49" s="66" t="str">
        <f t="shared" si="1"/>
        <v/>
      </c>
      <c r="AQ49" s="66"/>
      <c r="AR49" s="66"/>
    </row>
    <row r="50" spans="1:44" ht="0.75" customHeight="1">
      <c r="A50" s="793" t="s">
        <v>172</v>
      </c>
      <c r="B50" s="793" t="s">
        <v>173</v>
      </c>
      <c r="C50" s="793" t="s">
        <v>174</v>
      </c>
      <c r="D50" s="793" t="s">
        <v>175</v>
      </c>
      <c r="E50" s="1288"/>
      <c r="F50" s="1288"/>
      <c r="G50" s="1288"/>
      <c r="H50" s="1288"/>
      <c r="I50" s="1290"/>
      <c r="J50" s="1290"/>
      <c r="K50" s="1289"/>
      <c r="L50" s="794"/>
      <c r="P50" s="1211"/>
      <c r="Q50" s="1211"/>
      <c r="R50" s="215"/>
      <c r="S50" s="62"/>
      <c r="T50" s="170"/>
      <c r="U50" s="170"/>
      <c r="V50" s="196"/>
      <c r="W50" s="196"/>
      <c r="X50" s="196"/>
      <c r="Y50" s="198" t="str">
        <f>Z49&amp;"-"&amp;AB49</f>
        <v>-</v>
      </c>
      <c r="Z50" s="1292"/>
      <c r="AA50" s="1092"/>
      <c r="AB50" s="1292"/>
      <c r="AC50" s="1092"/>
      <c r="AD50" s="196"/>
      <c r="AE50" s="196"/>
      <c r="AF50" s="196"/>
      <c r="AG50" s="198" t="str">
        <f>AH49&amp;"-"&amp;AJ49</f>
        <v>-</v>
      </c>
      <c r="AH50" s="1292"/>
      <c r="AI50" s="1092"/>
      <c r="AJ50" s="1294"/>
      <c r="AK50" s="1092"/>
      <c r="AL50" s="791"/>
      <c r="AM50" s="1310"/>
      <c r="AO50" s="66"/>
      <c r="AP50" s="66" t="str">
        <f t="shared" si="1"/>
        <v/>
      </c>
      <c r="AQ50" s="66"/>
      <c r="AR50" s="66"/>
    </row>
    <row r="51" spans="1:44" ht="11.25" customHeight="1">
      <c r="A51" s="793" t="s">
        <v>172</v>
      </c>
      <c r="B51" s="793" t="s">
        <v>173</v>
      </c>
      <c r="C51" s="793" t="s">
        <v>174</v>
      </c>
      <c r="D51" s="793" t="s">
        <v>175</v>
      </c>
      <c r="E51" s="1288"/>
      <c r="F51" s="1288"/>
      <c r="G51" s="1288"/>
      <c r="H51" s="1288"/>
      <c r="I51" s="1290"/>
      <c r="J51" s="1289"/>
      <c r="K51" s="793"/>
      <c r="L51" s="794"/>
      <c r="P51" s="1211"/>
      <c r="Q51" s="1211"/>
      <c r="R51" s="214"/>
      <c r="S51" s="767"/>
      <c r="T51" s="166" t="s">
        <v>485</v>
      </c>
      <c r="U51" s="221"/>
      <c r="V51" s="221"/>
      <c r="W51" s="221"/>
      <c r="X51" s="221"/>
      <c r="Y51" s="221"/>
      <c r="Z51" s="221"/>
      <c r="AA51" s="221"/>
      <c r="AB51" s="221"/>
      <c r="AC51" s="221"/>
      <c r="AD51" s="221"/>
      <c r="AE51" s="221"/>
      <c r="AF51" s="221"/>
      <c r="AG51" s="221"/>
      <c r="AH51" s="221"/>
      <c r="AI51" s="221"/>
      <c r="AJ51" s="221"/>
      <c r="AK51" s="221"/>
      <c r="AL51" s="195"/>
      <c r="AM51" s="1311"/>
      <c r="AO51" s="66"/>
      <c r="AP51" s="66" t="str">
        <f t="shared" si="1"/>
        <v>Добавить вид теплоносителя (параметры теплоносителя)</v>
      </c>
      <c r="AQ51" s="66"/>
      <c r="AR51" s="66"/>
    </row>
    <row r="52" spans="1:44" ht="11.25" customHeight="1">
      <c r="A52" s="793" t="s">
        <v>172</v>
      </c>
      <c r="B52" s="793" t="s">
        <v>173</v>
      </c>
      <c r="C52" s="793" t="s">
        <v>174</v>
      </c>
      <c r="D52" s="793" t="s">
        <v>175</v>
      </c>
      <c r="E52" s="1288"/>
      <c r="F52" s="1288"/>
      <c r="G52" s="1288"/>
      <c r="H52" s="1288"/>
      <c r="I52" s="1289"/>
      <c r="J52" s="793"/>
      <c r="K52" s="793"/>
      <c r="L52" s="794"/>
      <c r="P52" s="1211"/>
      <c r="Q52" s="119"/>
      <c r="R52" s="214"/>
      <c r="S52" s="767"/>
      <c r="T52" s="165" t="s">
        <v>486</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3" t="s">
        <v>172</v>
      </c>
      <c r="B53" s="793" t="s">
        <v>173</v>
      </c>
      <c r="C53" s="793" t="s">
        <v>174</v>
      </c>
      <c r="D53" s="793" t="s">
        <v>175</v>
      </c>
      <c r="E53" s="1288"/>
      <c r="F53" s="1288"/>
      <c r="G53" s="1288"/>
      <c r="H53" s="1287"/>
      <c r="I53" s="793"/>
      <c r="J53" s="793"/>
      <c r="K53" s="793"/>
      <c r="L53" s="794"/>
      <c r="M53" s="433"/>
      <c r="N53" s="433"/>
      <c r="O53" s="60"/>
      <c r="P53" s="2"/>
      <c r="Q53" s="224"/>
      <c r="R53" s="213"/>
      <c r="S53" s="767"/>
      <c r="T53" s="219" t="s">
        <v>487</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172</v>
      </c>
      <c r="B54" s="142" t="s">
        <v>173</v>
      </c>
      <c r="C54" s="142" t="s">
        <v>174</v>
      </c>
      <c r="D54" s="142"/>
      <c r="E54" s="1288"/>
      <c r="F54" s="1288"/>
      <c r="G54" s="1287"/>
      <c r="H54" s="142"/>
      <c r="I54" s="142"/>
      <c r="J54" s="142"/>
      <c r="K54" s="142"/>
      <c r="L54" s="355"/>
      <c r="M54" s="304"/>
      <c r="N54" s="304"/>
      <c r="P54" s="101"/>
      <c r="Q54" s="780"/>
      <c r="R54" s="101"/>
      <c r="S54" s="785"/>
      <c r="T54" s="787" t="s">
        <v>444</v>
      </c>
      <c r="U54" s="323"/>
      <c r="V54" s="323"/>
      <c r="W54" s="323"/>
      <c r="X54" s="323"/>
      <c r="Y54" s="323"/>
      <c r="Z54" s="323"/>
      <c r="AA54" s="323"/>
      <c r="AB54" s="323"/>
      <c r="AC54" s="323"/>
      <c r="AD54" s="323"/>
      <c r="AE54" s="323"/>
      <c r="AF54" s="323"/>
      <c r="AG54" s="323"/>
      <c r="AH54" s="323"/>
      <c r="AI54" s="323"/>
      <c r="AJ54" s="323"/>
      <c r="AK54" s="323"/>
      <c r="AL54" s="323"/>
      <c r="AM54" s="323"/>
      <c r="AO54" s="66"/>
      <c r="AP54" s="66" t="str">
        <f t="shared" si="1"/>
        <v>Добавить источник для дифференциации</v>
      </c>
      <c r="AQ54" s="66"/>
      <c r="AR54" s="66"/>
    </row>
    <row r="55" spans="1:44" s="65" customFormat="1" ht="0.75" customHeight="1">
      <c r="A55" s="142" t="s">
        <v>172</v>
      </c>
      <c r="B55" s="142" t="s">
        <v>173</v>
      </c>
      <c r="C55" s="142"/>
      <c r="D55" s="142"/>
      <c r="E55" s="1288"/>
      <c r="F55" s="1287"/>
      <c r="G55" s="142"/>
      <c r="H55" s="142"/>
      <c r="I55" s="142"/>
      <c r="J55" s="142"/>
      <c r="K55" s="142"/>
      <c r="L55" s="355"/>
      <c r="M55" s="784"/>
      <c r="N55" s="784"/>
      <c r="P55" s="101"/>
      <c r="Q55" s="780"/>
      <c r="R55" s="101"/>
      <c r="S55" s="785"/>
      <c r="T55" s="787" t="s">
        <v>445</v>
      </c>
      <c r="U55" s="323"/>
      <c r="V55" s="323"/>
      <c r="W55" s="323"/>
      <c r="X55" s="323"/>
      <c r="Y55" s="323"/>
      <c r="Z55" s="323"/>
      <c r="AA55" s="323"/>
      <c r="AB55" s="323"/>
      <c r="AC55" s="323"/>
      <c r="AD55" s="323"/>
      <c r="AE55" s="323"/>
      <c r="AF55" s="323"/>
      <c r="AG55" s="323"/>
      <c r="AH55" s="323"/>
      <c r="AI55" s="323"/>
      <c r="AJ55" s="323"/>
      <c r="AK55" s="323"/>
      <c r="AL55" s="323"/>
      <c r="AM55" s="323"/>
      <c r="AO55" s="66"/>
      <c r="AP55" s="66" t="str">
        <f t="shared" si="1"/>
        <v>Добавить централизованную систему для дифференциации</v>
      </c>
      <c r="AQ55" s="66"/>
      <c r="AR55" s="66"/>
    </row>
    <row r="56" spans="1:44" s="65" customFormat="1" ht="0.75" customHeight="1">
      <c r="A56" s="142" t="s">
        <v>172</v>
      </c>
      <c r="B56" s="142"/>
      <c r="C56" s="142"/>
      <c r="D56" s="142"/>
      <c r="E56" s="1287"/>
      <c r="F56" s="142"/>
      <c r="G56" s="142"/>
      <c r="H56" s="142"/>
      <c r="I56" s="142"/>
      <c r="J56" s="142"/>
      <c r="K56" s="142"/>
      <c r="L56" s="355"/>
      <c r="M56" s="784"/>
      <c r="N56" s="784"/>
      <c r="P56" s="101"/>
      <c r="Q56" s="780"/>
      <c r="R56" s="101"/>
      <c r="S56" s="785"/>
      <c r="T56" s="787" t="s">
        <v>446</v>
      </c>
      <c r="U56" s="323"/>
      <c r="V56" s="323"/>
      <c r="W56" s="323"/>
      <c r="X56" s="323"/>
      <c r="Y56" s="323"/>
      <c r="Z56" s="323"/>
      <c r="AA56" s="323"/>
      <c r="AB56" s="323"/>
      <c r="AC56" s="323"/>
      <c r="AD56" s="323"/>
      <c r="AE56" s="323"/>
      <c r="AF56" s="323"/>
      <c r="AG56" s="323"/>
      <c r="AH56" s="323"/>
      <c r="AI56" s="323"/>
      <c r="AJ56" s="323"/>
      <c r="AK56" s="323"/>
      <c r="AL56" s="323"/>
      <c r="AM56" s="323"/>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4"/>
      <c r="N57" s="784"/>
      <c r="P57" s="101"/>
      <c r="Q57" s="780"/>
      <c r="R57" s="101"/>
      <c r="S57" s="785"/>
      <c r="T57" s="787" t="s">
        <v>447</v>
      </c>
      <c r="U57" s="323"/>
      <c r="V57" s="323"/>
      <c r="W57" s="323"/>
      <c r="X57" s="323"/>
      <c r="Y57" s="323"/>
      <c r="Z57" s="323"/>
      <c r="AA57" s="323"/>
      <c r="AB57" s="323"/>
      <c r="AC57" s="323"/>
      <c r="AD57" s="323"/>
      <c r="AE57" s="323"/>
      <c r="AF57" s="323"/>
      <c r="AG57" s="323"/>
      <c r="AH57" s="323"/>
      <c r="AI57" s="323"/>
      <c r="AJ57" s="323"/>
      <c r="AK57" s="323"/>
      <c r="AL57" s="323"/>
      <c r="AM57" s="323"/>
      <c r="AO57" s="66"/>
      <c r="AP57" s="66" t="str">
        <f t="shared" si="1"/>
        <v>Добавить наименование тарифа</v>
      </c>
      <c r="AQ57" s="66"/>
      <c r="AR57" s="66"/>
    </row>
    <row r="58" spans="1:44" ht="11.25" hidden="1" customHeight="1">
      <c r="M58" s="60"/>
      <c r="N58" s="60"/>
      <c r="O58" s="60"/>
      <c r="P58" s="9"/>
      <c r="Q58" s="9"/>
      <c r="R58" s="9"/>
      <c r="S58" s="9"/>
      <c r="AN58" s="9"/>
      <c r="AO58" s="9"/>
      <c r="AP58" s="9"/>
      <c r="AQ58" s="9"/>
      <c r="AR58" s="9"/>
    </row>
    <row r="59" spans="1:44" ht="27" hidden="1" customHeight="1">
      <c r="O59" s="60"/>
      <c r="S59" s="204" t="s">
        <v>519</v>
      </c>
      <c r="T59" s="1286" t="s">
        <v>520</v>
      </c>
      <c r="U59" s="1286"/>
      <c r="V59" s="1286"/>
      <c r="W59" s="1286"/>
      <c r="X59" s="1286"/>
      <c r="Y59" s="1286"/>
      <c r="Z59" s="1286"/>
      <c r="AA59" s="1286"/>
      <c r="AB59" s="1286"/>
      <c r="AC59" s="1286"/>
      <c r="AD59" s="1286"/>
      <c r="AE59" s="1286"/>
      <c r="AF59" s="1286"/>
      <c r="AG59" s="1286"/>
      <c r="AH59" s="1286"/>
      <c r="AI59" s="1286"/>
      <c r="AJ59" s="1286"/>
      <c r="AK59" s="1286"/>
      <c r="AL59" s="1286"/>
      <c r="AM59" s="1286"/>
    </row>
    <row r="60" spans="1:44" ht="64.5" hidden="1" customHeight="1">
      <c r="O60" s="60"/>
      <c r="T60" s="1286" t="s">
        <v>521</v>
      </c>
      <c r="U60" s="1286"/>
      <c r="V60" s="1286"/>
      <c r="W60" s="1286"/>
      <c r="X60" s="1286"/>
      <c r="Y60" s="1286"/>
      <c r="Z60" s="1286"/>
      <c r="AA60" s="1286"/>
      <c r="AB60" s="1286"/>
      <c r="AC60" s="1286"/>
      <c r="AD60" s="1286"/>
      <c r="AE60" s="1286"/>
      <c r="AF60" s="1286"/>
      <c r="AG60" s="1286"/>
      <c r="AH60" s="1286"/>
      <c r="AI60" s="1286"/>
      <c r="AJ60" s="1286"/>
      <c r="AK60" s="1286"/>
      <c r="AL60" s="1286"/>
      <c r="AM60" s="1286"/>
    </row>
    <row r="61" spans="1:44" ht="14.25" hidden="1" customHeight="1">
      <c r="O61" s="60"/>
    </row>
    <row r="62" spans="1:44" ht="18" hidden="1" customHeight="1">
      <c r="O62" s="60"/>
      <c r="S62" s="204" t="s">
        <v>519</v>
      </c>
      <c r="T62" s="1286" t="s">
        <v>522</v>
      </c>
      <c r="U62" s="1286"/>
      <c r="V62" s="1286"/>
      <c r="W62" s="1286"/>
      <c r="X62" s="1286"/>
      <c r="Y62" s="1286"/>
      <c r="Z62" s="1286"/>
      <c r="AA62" s="1286"/>
      <c r="AB62" s="1286"/>
      <c r="AC62" s="1286"/>
      <c r="AD62" s="1286"/>
      <c r="AE62" s="1286"/>
      <c r="AF62" s="1286"/>
      <c r="AG62" s="1286"/>
      <c r="AH62" s="1286"/>
      <c r="AI62" s="1286"/>
      <c r="AJ62" s="1286"/>
      <c r="AK62" s="1286"/>
      <c r="AL62" s="1286"/>
      <c r="AM62" s="1286"/>
    </row>
    <row r="63" spans="1:44" ht="18" hidden="1" customHeight="1">
      <c r="O63" s="60"/>
      <c r="T63" s="1286" t="s">
        <v>523</v>
      </c>
      <c r="U63" s="1286"/>
      <c r="V63" s="1286"/>
      <c r="W63" s="1286"/>
      <c r="X63" s="1286"/>
      <c r="Y63" s="1286"/>
      <c r="Z63" s="1286"/>
      <c r="AA63" s="1286"/>
      <c r="AB63" s="1286"/>
      <c r="AC63" s="1286"/>
      <c r="AD63" s="1286"/>
      <c r="AE63" s="1286"/>
      <c r="AF63" s="1286"/>
      <c r="AG63" s="1286"/>
      <c r="AH63" s="1286"/>
      <c r="AI63" s="1286"/>
      <c r="AJ63" s="1286"/>
      <c r="AK63" s="1286"/>
      <c r="AL63" s="1286"/>
      <c r="AM63" s="1286"/>
    </row>
    <row r="64" spans="1:44" ht="27.75" hidden="1" customHeight="1">
      <c r="O64" s="60"/>
      <c r="S64" s="204"/>
      <c r="T64" s="1286" t="s">
        <v>524</v>
      </c>
      <c r="U64" s="1286"/>
      <c r="V64" s="1286"/>
      <c r="W64" s="1286"/>
      <c r="X64" s="1286"/>
      <c r="Y64" s="1286"/>
      <c r="Z64" s="1286"/>
      <c r="AA64" s="1286"/>
      <c r="AB64" s="1286"/>
      <c r="AC64" s="1286"/>
      <c r="AD64" s="1286"/>
      <c r="AE64" s="1286"/>
      <c r="AF64" s="1286"/>
      <c r="AG64" s="1286"/>
      <c r="AH64" s="1286"/>
      <c r="AI64" s="1286"/>
      <c r="AJ64" s="1286"/>
      <c r="AK64" s="1286"/>
      <c r="AL64" s="1286"/>
      <c r="AM64" s="1286"/>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C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A424A-83F3-7B41-5F0E-94D2E9FD42C7}">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3"/>
      <c r="B2" s="793"/>
      <c r="C2" s="793"/>
      <c r="D2" s="793"/>
      <c r="E2" s="1287">
        <v>1</v>
      </c>
      <c r="F2" s="793"/>
      <c r="G2" s="793"/>
      <c r="H2" s="793"/>
      <c r="I2" s="793"/>
      <c r="J2" s="793"/>
      <c r="K2" s="793"/>
      <c r="L2" s="794"/>
      <c r="M2" s="433"/>
      <c r="N2" s="433"/>
      <c r="O2" s="433"/>
      <c r="Q2" s="2"/>
      <c r="R2" s="213"/>
      <c r="S2" s="725" t="e">
        <f>INDEX(PT_DIFFERENTIATION_NUM_NTAR,MATCH(A2,PT_DIFFERENTIATION_NTAR_ID,0))</f>
        <v>#N/A</v>
      </c>
      <c r="T2" s="64" t="s">
        <v>139</v>
      </c>
      <c r="U2" s="170"/>
      <c r="V2" s="1281"/>
      <c r="W2" s="1282"/>
      <c r="X2" s="1282"/>
      <c r="Y2" s="1282"/>
      <c r="Z2" s="1282"/>
      <c r="AA2" s="1282"/>
      <c r="AB2" s="1282"/>
      <c r="AC2" s="1283"/>
      <c r="AD2" s="1281" t="e">
        <f>INDEX(PT_DIFFERENTIATION_NTAR,MATCH(A2,PT_DIFFERENTIATION_NTAR_ID,0))</f>
        <v>#N/A</v>
      </c>
      <c r="AE2" s="1282"/>
      <c r="AF2" s="1282"/>
      <c r="AG2" s="1282"/>
      <c r="AH2" s="1282"/>
      <c r="AI2" s="1282"/>
      <c r="AJ2" s="1282"/>
      <c r="AK2" s="1282"/>
      <c r="AL2" s="1283"/>
      <c r="AM2" s="753" t="s">
        <v>470</v>
      </c>
      <c r="AO2" s="66"/>
      <c r="AP2" s="66" t="str">
        <f t="shared" ref="AP2:AP15" si="0">IF(T2="","",T2)</f>
        <v>Наименование тарифа</v>
      </c>
      <c r="AQ2" s="66"/>
      <c r="AR2" s="66"/>
    </row>
    <row r="3" spans="1:44" ht="21" hidden="1" customHeight="1">
      <c r="A3" s="793"/>
      <c r="B3" s="793"/>
      <c r="C3" s="793"/>
      <c r="D3" s="793"/>
      <c r="E3" s="1288"/>
      <c r="F3" s="1287">
        <v>1</v>
      </c>
      <c r="G3" s="793"/>
      <c r="H3" s="793"/>
      <c r="I3" s="793"/>
      <c r="J3" s="793"/>
      <c r="K3" s="793"/>
      <c r="L3" s="794"/>
      <c r="M3" s="433"/>
      <c r="N3" s="433"/>
      <c r="O3" s="433"/>
      <c r="P3" s="56"/>
      <c r="Q3" s="210"/>
      <c r="R3" s="211"/>
      <c r="S3" s="725" t="e">
        <f>INDEX(PT_DIFFERENTIATION_NUM_TER,MATCH(B3,PT_DIFFERENTIATION_TER_ID,0))</f>
        <v>#N/A</v>
      </c>
      <c r="T3" s="178" t="s">
        <v>471</v>
      </c>
      <c r="U3" s="170"/>
      <c r="V3" s="1281"/>
      <c r="W3" s="1282"/>
      <c r="X3" s="1282"/>
      <c r="Y3" s="1282"/>
      <c r="Z3" s="1282"/>
      <c r="AA3" s="1282"/>
      <c r="AB3" s="1282"/>
      <c r="AC3" s="1283"/>
      <c r="AD3" s="1281" t="e">
        <f>INDEX(PT_DIFFERENTIATION_TER,MATCH(B3,PT_DIFFERENTIATION_TER_ID,0))</f>
        <v>#N/A</v>
      </c>
      <c r="AE3" s="1282"/>
      <c r="AF3" s="1282"/>
      <c r="AG3" s="1282"/>
      <c r="AH3" s="1282"/>
      <c r="AI3" s="1282"/>
      <c r="AJ3" s="1282"/>
      <c r="AK3" s="1282"/>
      <c r="AL3" s="1283"/>
      <c r="AM3" s="753" t="s">
        <v>472</v>
      </c>
      <c r="AO3" s="66"/>
      <c r="AP3" s="66" t="str">
        <f t="shared" si="0"/>
        <v>Территория действия тарифа</v>
      </c>
      <c r="AQ3" s="66"/>
      <c r="AR3" s="66"/>
    </row>
    <row r="4" spans="1:44" ht="23.25" hidden="1" customHeight="1">
      <c r="A4" s="793"/>
      <c r="B4" s="793"/>
      <c r="C4" s="793"/>
      <c r="D4" s="793"/>
      <c r="E4" s="1288"/>
      <c r="F4" s="1288"/>
      <c r="G4" s="1287">
        <v>1</v>
      </c>
      <c r="H4" s="793"/>
      <c r="I4" s="793"/>
      <c r="J4" s="793"/>
      <c r="K4" s="793"/>
      <c r="L4" s="794"/>
      <c r="M4" s="433"/>
      <c r="N4" s="433"/>
      <c r="O4" s="433"/>
      <c r="P4" s="212"/>
      <c r="Q4" s="210"/>
      <c r="R4" s="211"/>
      <c r="S4" s="725" t="e">
        <f>INDEX(PT_DIFFERENTIATION_NUM_CS,MATCH(C4,PT_DIFFERENTIATION_CS_ID,0))</f>
        <v>#N/A</v>
      </c>
      <c r="T4" s="179" t="s">
        <v>473</v>
      </c>
      <c r="U4" s="170"/>
      <c r="V4" s="1281"/>
      <c r="W4" s="1282"/>
      <c r="X4" s="1282"/>
      <c r="Y4" s="1282"/>
      <c r="Z4" s="1282"/>
      <c r="AA4" s="1282"/>
      <c r="AB4" s="1282"/>
      <c r="AC4" s="1283"/>
      <c r="AD4" s="1281" t="e">
        <f>INDEX(PT_DIFFERENTIATION_CS,MATCH(C4,PT_DIFFERENTIATION_CS_ID,0))</f>
        <v>#N/A</v>
      </c>
      <c r="AE4" s="1282"/>
      <c r="AF4" s="1282"/>
      <c r="AG4" s="1282"/>
      <c r="AH4" s="1282"/>
      <c r="AI4" s="1282"/>
      <c r="AJ4" s="1282"/>
      <c r="AK4" s="1282"/>
      <c r="AL4" s="1283"/>
      <c r="AM4" s="753" t="s">
        <v>474</v>
      </c>
      <c r="AO4" s="66"/>
      <c r="AP4" s="66" t="str">
        <f t="shared" si="0"/>
        <v xml:space="preserve">Наименование системы теплоснабжения </v>
      </c>
      <c r="AQ4" s="66"/>
      <c r="AR4" s="66"/>
    </row>
    <row r="5" spans="1:44" ht="21" hidden="1" customHeight="1">
      <c r="A5" s="793"/>
      <c r="B5" s="793"/>
      <c r="C5" s="793"/>
      <c r="D5" s="793"/>
      <c r="E5" s="1288"/>
      <c r="F5" s="1288"/>
      <c r="G5" s="1288"/>
      <c r="H5" s="1287">
        <v>1</v>
      </c>
      <c r="I5" s="793"/>
      <c r="J5" s="793"/>
      <c r="K5" s="793"/>
      <c r="L5" s="794"/>
      <c r="M5" s="433"/>
      <c r="N5" s="433"/>
      <c r="O5" s="433"/>
      <c r="P5" s="212"/>
      <c r="Q5" s="210"/>
      <c r="R5" s="211"/>
      <c r="S5" s="725" t="e">
        <f>INDEX(PT_DIFFERENTIATION_NUM_IST_TE,MATCH(D5,PT_DIFFERENTIATION_IST_TE_ID,0))</f>
        <v>#N/A</v>
      </c>
      <c r="T5" s="180" t="s">
        <v>475</v>
      </c>
      <c r="U5" s="170"/>
      <c r="V5" s="1281"/>
      <c r="W5" s="1282"/>
      <c r="X5" s="1282"/>
      <c r="Y5" s="1282"/>
      <c r="Z5" s="1282"/>
      <c r="AA5" s="1282"/>
      <c r="AB5" s="1282"/>
      <c r="AC5" s="1283"/>
      <c r="AD5" s="1281" t="e">
        <f>INDEX(PT_DIFFERENTIATION_IST_TE,MATCH(D5,PT_DIFFERENTIATION_IST_TE_ID,0))</f>
        <v>#N/A</v>
      </c>
      <c r="AE5" s="1282"/>
      <c r="AF5" s="1282"/>
      <c r="AG5" s="1282"/>
      <c r="AH5" s="1282"/>
      <c r="AI5" s="1282"/>
      <c r="AJ5" s="1282"/>
      <c r="AK5" s="1282"/>
      <c r="AL5" s="1283"/>
      <c r="AM5" s="753" t="s">
        <v>476</v>
      </c>
      <c r="AO5" s="66"/>
      <c r="AP5" s="66" t="str">
        <f t="shared" si="0"/>
        <v xml:space="preserve">Источник тепловой энергии  </v>
      </c>
      <c r="AQ5" s="66"/>
      <c r="AR5" s="66"/>
    </row>
    <row r="6" spans="1:44" ht="47.25" hidden="1" customHeight="1">
      <c r="A6" s="793"/>
      <c r="B6" s="793"/>
      <c r="C6" s="793"/>
      <c r="D6" s="793"/>
      <c r="E6" s="1288"/>
      <c r="F6" s="1288"/>
      <c r="G6" s="1288"/>
      <c r="H6" s="1288"/>
      <c r="I6" s="1289" t="e">
        <f>S5&amp;".1"</f>
        <v>#N/A</v>
      </c>
      <c r="J6" s="793"/>
      <c r="K6" s="793"/>
      <c r="L6" s="794" t="s">
        <v>477</v>
      </c>
      <c r="M6" s="60"/>
      <c r="P6" s="1211">
        <v>1</v>
      </c>
      <c r="Q6" s="119"/>
      <c r="R6" s="214"/>
      <c r="S6" s="725" t="e">
        <f>$I6</f>
        <v>#N/A</v>
      </c>
      <c r="T6" s="163" t="s">
        <v>478</v>
      </c>
      <c r="U6" s="170"/>
      <c r="V6" s="1275"/>
      <c r="W6" s="1276"/>
      <c r="X6" s="1276"/>
      <c r="Y6" s="1276"/>
      <c r="Z6" s="1276"/>
      <c r="AA6" s="1276"/>
      <c r="AB6" s="1276"/>
      <c r="AC6" s="1277"/>
      <c r="AD6" s="1275"/>
      <c r="AE6" s="1276"/>
      <c r="AF6" s="1276"/>
      <c r="AG6" s="1276"/>
      <c r="AH6" s="1276"/>
      <c r="AI6" s="1276"/>
      <c r="AJ6" s="1276"/>
      <c r="AK6" s="1276"/>
      <c r="AL6" s="1277"/>
      <c r="AM6" s="753" t="s">
        <v>479</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3"/>
      <c r="B7" s="793"/>
      <c r="C7" s="793"/>
      <c r="D7" s="793"/>
      <c r="E7" s="1288"/>
      <c r="F7" s="1288"/>
      <c r="G7" s="1288"/>
      <c r="H7" s="1288"/>
      <c r="I7" s="1290"/>
      <c r="J7" s="1289" t="e">
        <f>I6&amp;".1"</f>
        <v>#N/A</v>
      </c>
      <c r="K7" s="793"/>
      <c r="L7" s="794" t="s">
        <v>480</v>
      </c>
      <c r="M7" s="60"/>
      <c r="N7" s="60"/>
      <c r="P7" s="1211"/>
      <c r="Q7" s="1211">
        <v>1</v>
      </c>
      <c r="R7" s="215"/>
      <c r="S7" s="725" t="e">
        <f>$J7</f>
        <v>#N/A</v>
      </c>
      <c r="T7" s="164" t="s">
        <v>481</v>
      </c>
      <c r="U7" s="170"/>
      <c r="V7" s="1275"/>
      <c r="W7" s="1276"/>
      <c r="X7" s="1276"/>
      <c r="Y7" s="1276"/>
      <c r="Z7" s="1276"/>
      <c r="AA7" s="1276"/>
      <c r="AB7" s="1276"/>
      <c r="AC7" s="1277"/>
      <c r="AD7" s="1275"/>
      <c r="AE7" s="1276"/>
      <c r="AF7" s="1276"/>
      <c r="AG7" s="1276"/>
      <c r="AH7" s="1276"/>
      <c r="AI7" s="1276"/>
      <c r="AJ7" s="1276"/>
      <c r="AK7" s="1276"/>
      <c r="AL7" s="1277"/>
      <c r="AM7" s="753" t="s">
        <v>482</v>
      </c>
      <c r="AO7" s="66"/>
      <c r="AP7" s="66" t="str">
        <f t="shared" si="0"/>
        <v>Группа потребителей</v>
      </c>
      <c r="AQ7" s="66"/>
      <c r="AR7" s="66"/>
    </row>
    <row r="8" spans="1:44" ht="21" hidden="1" customHeight="1">
      <c r="A8" s="793"/>
      <c r="B8" s="793"/>
      <c r="C8" s="793"/>
      <c r="D8" s="793"/>
      <c r="E8" s="1288"/>
      <c r="F8" s="1288"/>
      <c r="G8" s="1288"/>
      <c r="H8" s="1288"/>
      <c r="I8" s="1290"/>
      <c r="J8" s="1290"/>
      <c r="K8" s="1289" t="e">
        <f>J7&amp;".1"</f>
        <v>#N/A</v>
      </c>
      <c r="L8" s="794" t="s">
        <v>483</v>
      </c>
      <c r="M8" s="60"/>
      <c r="N8" s="60"/>
      <c r="O8" s="60"/>
      <c r="P8" s="1211"/>
      <c r="Q8" s="1211"/>
      <c r="R8" s="215">
        <v>1</v>
      </c>
      <c r="S8" s="725" t="e">
        <f>$K8</f>
        <v>#N/A</v>
      </c>
      <c r="T8" s="789"/>
      <c r="U8" s="170"/>
      <c r="V8" s="317"/>
      <c r="W8" s="196"/>
      <c r="X8" s="317"/>
      <c r="Y8" s="752"/>
      <c r="Z8" s="1291"/>
      <c r="AA8" s="1092" t="s">
        <v>59</v>
      </c>
      <c r="AB8" s="1291"/>
      <c r="AC8" s="1092" t="s">
        <v>59</v>
      </c>
      <c r="AD8" s="317"/>
      <c r="AE8" s="196"/>
      <c r="AF8" s="317"/>
      <c r="AG8" s="752"/>
      <c r="AH8" s="1291"/>
      <c r="AI8" s="1092" t="s">
        <v>59</v>
      </c>
      <c r="AJ8" s="1291"/>
      <c r="AK8" s="1092" t="s">
        <v>59</v>
      </c>
      <c r="AL8" s="196"/>
      <c r="AM8" s="1309" t="s">
        <v>484</v>
      </c>
      <c r="AN8" s="65" t="e">
        <f ca="1">STRCHECKDATE(V9:AL9)</f>
        <v>#NAME?</v>
      </c>
      <c r="AO8" s="66"/>
      <c r="AP8" s="66" t="str">
        <f t="shared" si="0"/>
        <v/>
      </c>
      <c r="AQ8" s="66"/>
      <c r="AR8" s="66"/>
    </row>
    <row r="9" spans="1:44" ht="0.75" hidden="1" customHeight="1">
      <c r="A9" s="793"/>
      <c r="B9" s="793"/>
      <c r="C9" s="793"/>
      <c r="D9" s="793"/>
      <c r="E9" s="1288"/>
      <c r="F9" s="1288"/>
      <c r="G9" s="1288"/>
      <c r="H9" s="1288"/>
      <c r="I9" s="1290"/>
      <c r="J9" s="1290"/>
      <c r="K9" s="1289"/>
      <c r="L9" s="794"/>
      <c r="M9" s="60"/>
      <c r="N9" s="60"/>
      <c r="O9" s="60"/>
      <c r="P9" s="1211"/>
      <c r="Q9" s="1211"/>
      <c r="R9" s="215"/>
      <c r="S9" s="62"/>
      <c r="T9" s="170"/>
      <c r="U9" s="170"/>
      <c r="V9" s="196"/>
      <c r="W9" s="196"/>
      <c r="X9" s="196"/>
      <c r="Y9" s="198" t="str">
        <f>Z8&amp;"-"&amp;AB8</f>
        <v>-</v>
      </c>
      <c r="Z9" s="1292"/>
      <c r="AA9" s="1092"/>
      <c r="AB9" s="1292"/>
      <c r="AC9" s="1092"/>
      <c r="AD9" s="196"/>
      <c r="AE9" s="196"/>
      <c r="AF9" s="196"/>
      <c r="AG9" s="198" t="str">
        <f>AH8&amp;"-"&amp;AJ8</f>
        <v>-</v>
      </c>
      <c r="AH9" s="1292"/>
      <c r="AI9" s="1092"/>
      <c r="AJ9" s="1292"/>
      <c r="AK9" s="1092"/>
      <c r="AL9" s="196"/>
      <c r="AM9" s="1310"/>
      <c r="AO9" s="66"/>
      <c r="AP9" s="66" t="str">
        <f t="shared" si="0"/>
        <v/>
      </c>
      <c r="AQ9" s="66"/>
      <c r="AR9" s="66"/>
    </row>
    <row r="10" spans="1:44" ht="15" hidden="1" customHeight="1">
      <c r="A10" s="793"/>
      <c r="B10" s="793"/>
      <c r="C10" s="793"/>
      <c r="D10" s="793"/>
      <c r="E10" s="1288"/>
      <c r="F10" s="1288"/>
      <c r="G10" s="1288"/>
      <c r="H10" s="1288"/>
      <c r="I10" s="1290"/>
      <c r="J10" s="1289"/>
      <c r="K10" s="793"/>
      <c r="L10" s="794"/>
      <c r="M10" s="60"/>
      <c r="N10" s="60"/>
      <c r="P10" s="1211"/>
      <c r="Q10" s="1211"/>
      <c r="R10" s="214"/>
      <c r="S10" s="767"/>
      <c r="T10" s="166" t="s">
        <v>485</v>
      </c>
      <c r="U10" s="221"/>
      <c r="V10" s="221"/>
      <c r="W10" s="221"/>
      <c r="X10" s="221"/>
      <c r="Y10" s="221"/>
      <c r="Z10" s="221"/>
      <c r="AA10" s="221"/>
      <c r="AB10" s="221"/>
      <c r="AC10" s="221"/>
      <c r="AD10" s="221"/>
      <c r="AE10" s="221"/>
      <c r="AF10" s="221"/>
      <c r="AG10" s="221"/>
      <c r="AH10" s="221"/>
      <c r="AI10" s="221"/>
      <c r="AJ10" s="221"/>
      <c r="AK10" s="221"/>
      <c r="AL10" s="195"/>
      <c r="AM10" s="1311"/>
      <c r="AO10" s="66"/>
      <c r="AP10" s="66" t="str">
        <f t="shared" si="0"/>
        <v>Добавить вид теплоносителя (параметры теплоносителя)</v>
      </c>
      <c r="AQ10" s="66"/>
      <c r="AR10" s="66"/>
    </row>
    <row r="11" spans="1:44" ht="15" hidden="1" customHeight="1">
      <c r="A11" s="793"/>
      <c r="B11" s="793"/>
      <c r="C11" s="793"/>
      <c r="D11" s="793"/>
      <c r="E11" s="1288"/>
      <c r="F11" s="1288"/>
      <c r="G11" s="1288"/>
      <c r="H11" s="1288"/>
      <c r="I11" s="1289"/>
      <c r="J11" s="793"/>
      <c r="K11" s="793"/>
      <c r="L11" s="794"/>
      <c r="M11" s="60"/>
      <c r="P11" s="1211"/>
      <c r="Q11" s="119"/>
      <c r="R11" s="214"/>
      <c r="S11" s="767"/>
      <c r="T11" s="165" t="s">
        <v>486</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3"/>
      <c r="B12" s="793"/>
      <c r="C12" s="793"/>
      <c r="D12" s="793"/>
      <c r="E12" s="1288"/>
      <c r="F12" s="1288"/>
      <c r="G12" s="1288"/>
      <c r="H12" s="1287"/>
      <c r="I12" s="793"/>
      <c r="J12" s="793"/>
      <c r="K12" s="793"/>
      <c r="L12" s="794"/>
      <c r="M12" s="433"/>
      <c r="N12" s="433"/>
      <c r="O12" s="60"/>
      <c r="P12" s="2"/>
      <c r="Q12" s="224"/>
      <c r="R12" s="213"/>
      <c r="S12" s="767"/>
      <c r="T12" s="219" t="s">
        <v>487</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88"/>
      <c r="F13" s="1288"/>
      <c r="G13" s="1287"/>
      <c r="H13" s="142"/>
      <c r="I13" s="142"/>
      <c r="J13" s="142"/>
      <c r="K13" s="142"/>
      <c r="L13" s="355"/>
      <c r="M13" s="304"/>
      <c r="N13" s="304"/>
      <c r="P13" s="101"/>
      <c r="Q13" s="780"/>
      <c r="R13" s="101"/>
      <c r="S13" s="781"/>
      <c r="T13" s="782" t="s">
        <v>444</v>
      </c>
      <c r="U13" s="783"/>
      <c r="V13" s="783"/>
      <c r="W13" s="783"/>
      <c r="X13" s="783"/>
      <c r="Y13" s="783"/>
      <c r="Z13" s="783"/>
      <c r="AA13" s="783"/>
      <c r="AB13" s="783"/>
      <c r="AC13" s="783"/>
      <c r="AD13" s="783"/>
      <c r="AE13" s="783"/>
      <c r="AF13" s="783"/>
      <c r="AG13" s="783"/>
      <c r="AH13" s="783"/>
      <c r="AI13" s="783"/>
      <c r="AJ13" s="783"/>
      <c r="AK13" s="783"/>
      <c r="AL13" s="783"/>
      <c r="AM13" s="783"/>
      <c r="AO13" s="66"/>
      <c r="AP13" s="66" t="str">
        <f t="shared" si="0"/>
        <v>Добавить источник для дифференциации</v>
      </c>
      <c r="AQ13" s="66"/>
      <c r="AR13" s="66"/>
    </row>
    <row r="14" spans="1:44" s="65" customFormat="1" ht="0.75" hidden="1" customHeight="1">
      <c r="A14" s="142"/>
      <c r="B14" s="142"/>
      <c r="C14" s="142"/>
      <c r="D14" s="142"/>
      <c r="E14" s="1288"/>
      <c r="F14" s="1287"/>
      <c r="G14" s="142"/>
      <c r="H14" s="142"/>
      <c r="I14" s="142"/>
      <c r="J14" s="142"/>
      <c r="K14" s="142"/>
      <c r="L14" s="355"/>
      <c r="M14" s="784"/>
      <c r="N14" s="784"/>
      <c r="P14" s="101"/>
      <c r="Q14" s="780"/>
      <c r="R14" s="101"/>
      <c r="S14" s="785"/>
      <c r="T14" s="786" t="s">
        <v>445</v>
      </c>
      <c r="U14" s="323"/>
      <c r="V14" s="323"/>
      <c r="W14" s="323"/>
      <c r="X14" s="323"/>
      <c r="Y14" s="323"/>
      <c r="Z14" s="323"/>
      <c r="AA14" s="323"/>
      <c r="AB14" s="323"/>
      <c r="AC14" s="323"/>
      <c r="AD14" s="323"/>
      <c r="AE14" s="323"/>
      <c r="AF14" s="323"/>
      <c r="AG14" s="323"/>
      <c r="AH14" s="323"/>
      <c r="AI14" s="323"/>
      <c r="AJ14" s="323"/>
      <c r="AK14" s="323"/>
      <c r="AL14" s="323"/>
      <c r="AM14" s="323"/>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87"/>
      <c r="F15" s="142"/>
      <c r="G15" s="142"/>
      <c r="H15" s="142"/>
      <c r="I15" s="142"/>
      <c r="J15" s="142"/>
      <c r="K15" s="142"/>
      <c r="L15" s="355"/>
      <c r="M15" s="784"/>
      <c r="N15" s="784"/>
      <c r="P15" s="101"/>
      <c r="Q15" s="780"/>
      <c r="R15" s="101"/>
      <c r="S15" s="785"/>
      <c r="T15" s="787" t="s">
        <v>446</v>
      </c>
      <c r="U15" s="323"/>
      <c r="V15" s="323"/>
      <c r="W15" s="323"/>
      <c r="X15" s="323"/>
      <c r="Y15" s="323"/>
      <c r="Z15" s="323"/>
      <c r="AA15" s="323"/>
      <c r="AB15" s="323"/>
      <c r="AC15" s="323"/>
      <c r="AD15" s="323"/>
      <c r="AE15" s="323"/>
      <c r="AF15" s="323"/>
      <c r="AG15" s="323"/>
      <c r="AH15" s="323"/>
      <c r="AI15" s="323"/>
      <c r="AJ15" s="323"/>
      <c r="AK15" s="323"/>
      <c r="AL15" s="323"/>
      <c r="AM15" s="323"/>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2"/>
      <c r="AH17" s="1285"/>
      <c r="AI17" s="1284" t="s">
        <v>59</v>
      </c>
      <c r="AJ17" s="1285"/>
      <c r="AK17" s="1284" t="s">
        <v>59</v>
      </c>
    </row>
    <row r="18" spans="1:44" ht="14.25" hidden="1" customHeight="1">
      <c r="AD18" s="376"/>
      <c r="AE18" s="376"/>
      <c r="AF18" s="376"/>
      <c r="AG18" s="198" t="str">
        <f>AH17&amp;"-"&amp;AJ17</f>
        <v>-</v>
      </c>
      <c r="AH18" s="1284"/>
      <c r="AI18" s="1284"/>
      <c r="AJ18" s="1284"/>
      <c r="AK18" s="1284"/>
    </row>
    <row r="19" spans="1:44" ht="14.25" hidden="1" customHeight="1"/>
    <row r="20" spans="1:44" s="60" customFormat="1" ht="22.5" hidden="1" customHeight="1">
      <c r="L20" s="312"/>
      <c r="M20" s="519"/>
      <c r="N20" s="519"/>
      <c r="O20" s="795" t="s">
        <v>488</v>
      </c>
      <c r="P20" s="519"/>
      <c r="Q20" s="796"/>
      <c r="R20" s="796"/>
      <c r="S20" s="433"/>
      <c r="Z20" s="795"/>
      <c r="AB20" s="795"/>
      <c r="AH20" s="795"/>
      <c r="AJ20" s="795"/>
      <c r="AN20" s="65"/>
      <c r="AO20" s="65"/>
      <c r="AP20" s="65"/>
      <c r="AQ20" s="65"/>
      <c r="AR20" s="65"/>
    </row>
    <row r="21" spans="1:44" s="60" customFormat="1" ht="14.25" hidden="1" customHeight="1">
      <c r="L21" s="312"/>
      <c r="M21" s="519"/>
      <c r="N21" s="519"/>
      <c r="O21" s="519"/>
      <c r="P21" s="519"/>
      <c r="Q21" s="796"/>
      <c r="R21" s="796"/>
      <c r="S21" s="433"/>
      <c r="AN21" s="65"/>
      <c r="AO21" s="65"/>
      <c r="AP21" s="65"/>
      <c r="AQ21" s="65"/>
      <c r="AR21" s="65"/>
    </row>
    <row r="22" spans="1:44" s="60" customFormat="1" ht="14.25" hidden="1" customHeight="1">
      <c r="L22" s="312"/>
      <c r="M22" s="519"/>
      <c r="N22" s="519"/>
      <c r="O22" s="794" t="s">
        <v>489</v>
      </c>
      <c r="P22" s="519"/>
      <c r="Q22" s="796"/>
      <c r="R22" s="796"/>
      <c r="S22" s="433"/>
      <c r="T22" s="60" t="s">
        <v>490</v>
      </c>
      <c r="AA22" s="79" t="s">
        <v>491</v>
      </c>
      <c r="AC22" s="79" t="s">
        <v>492</v>
      </c>
      <c r="AD22" s="60" t="s">
        <v>490</v>
      </c>
      <c r="AI22" s="79" t="s">
        <v>493</v>
      </c>
      <c r="AK22" s="79" t="s">
        <v>492</v>
      </c>
      <c r="AN22" s="65"/>
      <c r="AO22" s="65"/>
      <c r="AP22" s="65"/>
      <c r="AQ22" s="65"/>
      <c r="AR22" s="65"/>
    </row>
    <row r="23" spans="1:44" ht="14.25" hidden="1" customHeight="1">
      <c r="O23" s="794"/>
    </row>
    <row r="24" spans="1:44" ht="14.25" hidden="1" customHeight="1">
      <c r="O24" s="794"/>
    </row>
    <row r="25" spans="1:44" ht="14.25" customHeight="1">
      <c r="Q25" s="27"/>
      <c r="R25" s="27"/>
      <c r="S25" s="764"/>
      <c r="T25" s="8"/>
      <c r="U25" s="8"/>
    </row>
    <row r="26" spans="1:44" ht="64.5" customHeight="1">
      <c r="Q26" s="27"/>
      <c r="R26" s="27"/>
      <c r="S26" s="1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312"/>
      <c r="U26" s="1312"/>
      <c r="V26" s="1312"/>
      <c r="W26" s="1312"/>
      <c r="X26" s="1312"/>
      <c r="Y26" s="1312"/>
      <c r="Z26" s="1312"/>
      <c r="AA26" s="1312"/>
      <c r="AB26" s="1312"/>
      <c r="AC26" s="1312"/>
      <c r="AD26" s="1312"/>
      <c r="AE26" s="1312"/>
      <c r="AF26" s="1312"/>
      <c r="AG26" s="1312"/>
      <c r="AH26" s="1312"/>
      <c r="AI26" s="1312"/>
      <c r="AJ26" s="1312"/>
      <c r="AK26" s="57"/>
    </row>
    <row r="27" spans="1:44" ht="14.25" customHeight="1">
      <c r="Q27" s="27"/>
      <c r="R27" s="27"/>
      <c r="S27" s="1178" t="str">
        <f>IF(org=0,"Не определено",org)</f>
        <v>ООО "Концессионная Коммунальная Компания"</v>
      </c>
      <c r="T27" s="1178"/>
      <c r="U27" s="1178"/>
      <c r="V27" s="1178"/>
      <c r="W27" s="1178"/>
      <c r="X27" s="1178"/>
      <c r="Y27" s="1178"/>
      <c r="Z27" s="1178"/>
      <c r="AA27" s="1178"/>
      <c r="AB27" s="1178"/>
      <c r="AC27" s="1178"/>
      <c r="AD27" s="1178"/>
      <c r="AE27" s="1178"/>
      <c r="AF27" s="1178"/>
      <c r="AG27" s="1178"/>
      <c r="AH27" s="1178"/>
      <c r="AI27" s="1178"/>
      <c r="AJ27" s="1178"/>
      <c r="AK27" s="57"/>
    </row>
    <row r="28" spans="1:44" ht="14.25" hidden="1" customHeight="1">
      <c r="Q28" s="27"/>
      <c r="R28" s="27"/>
      <c r="S28" s="764"/>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4"/>
      <c r="M29" s="79"/>
      <c r="N29" s="79"/>
      <c r="O29" s="79"/>
      <c r="S29" s="1278" t="s">
        <v>40</v>
      </c>
      <c r="T29" s="1278"/>
      <c r="U29" s="797"/>
      <c r="V29" s="1280" t="str">
        <f>IF(TITLE_NAME_OR_PR_CHANGE="",IF(TITLE_NAME_OR_PR="","",TITLE_NAME_OR_PR),TITLE_NAME_OR_PR_CHANGE)</f>
        <v/>
      </c>
      <c r="W29" s="1280"/>
      <c r="X29" s="1280"/>
      <c r="Y29" s="1280"/>
      <c r="Z29" s="1280"/>
      <c r="AA29" s="1280"/>
      <c r="AB29" s="1280"/>
      <c r="AC29" s="9"/>
      <c r="AD29" s="1280" t="str">
        <f>IF(TITLE_NAME_OR_PR_CHANGE="",IF(TITLE_NAME_OR_PR="","",TITLE_NAME_OR_PR),TITLE_NAME_OR_PR_CHANGE)</f>
        <v/>
      </c>
      <c r="AE29" s="1280"/>
      <c r="AF29" s="1280"/>
      <c r="AG29" s="1280"/>
      <c r="AH29" s="1280"/>
      <c r="AI29" s="1280"/>
      <c r="AJ29" s="1280"/>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4"/>
      <c r="M30" s="79"/>
      <c r="N30" s="79"/>
      <c r="O30" s="79"/>
      <c r="S30" s="1278" t="s">
        <v>494</v>
      </c>
      <c r="T30" s="1278"/>
      <c r="U30" s="797"/>
      <c r="V30" s="1279" t="str">
        <f>IF(TITLE_DATE_CHANGE_PERIOD="",IF(TITLE_DATE_PR="","",TITLE_DATE_PR),TITLE_DATE_CHANGE_PERIOD)</f>
        <v/>
      </c>
      <c r="W30" s="1279"/>
      <c r="X30" s="1279"/>
      <c r="Y30" s="1279"/>
      <c r="Z30" s="1279"/>
      <c r="AA30" s="1279"/>
      <c r="AB30" s="1279"/>
      <c r="AC30" s="9"/>
      <c r="AD30" s="1279" t="str">
        <f>IF(TITLE_DATE_CHANGE_PERIOD="",IF(TITLE_DATE_PR="","",TITLE_DATE_PR),TITLE_DATE_CHANGE_PERIOD)</f>
        <v/>
      </c>
      <c r="AE30" s="1279"/>
      <c r="AF30" s="1279"/>
      <c r="AG30" s="1279"/>
      <c r="AH30" s="1279"/>
      <c r="AI30" s="1279"/>
      <c r="AJ30" s="1279"/>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4"/>
      <c r="M31" s="79"/>
      <c r="N31" s="79"/>
      <c r="O31" s="79"/>
      <c r="S31" s="1278" t="s">
        <v>495</v>
      </c>
      <c r="T31" s="1278"/>
      <c r="U31" s="797"/>
      <c r="V31" s="1280" t="str">
        <f>IF(TITLE_NUMBER_PR_CHANGE="",IF(TITLE_NUMBER_PR="","",TITLE_NUMBER_PR),TITLE_NUMBER_PR_CHANGE)</f>
        <v/>
      </c>
      <c r="W31" s="1280"/>
      <c r="X31" s="1280"/>
      <c r="Y31" s="1280"/>
      <c r="Z31" s="1280"/>
      <c r="AA31" s="1280"/>
      <c r="AB31" s="1280"/>
      <c r="AC31" s="9"/>
      <c r="AD31" s="1280" t="str">
        <f>IF(TITLE_NUMBER_PR_CHANGE="",IF(TITLE_NUMBER_PR="","",TITLE_NUMBER_PR),TITLE_NUMBER_PR_CHANGE)</f>
        <v/>
      </c>
      <c r="AE31" s="1280"/>
      <c r="AF31" s="1280"/>
      <c r="AG31" s="1280"/>
      <c r="AH31" s="1280"/>
      <c r="AI31" s="1280"/>
      <c r="AJ31" s="1280"/>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4"/>
      <c r="M32" s="79"/>
      <c r="N32" s="79"/>
      <c r="O32" s="79"/>
      <c r="S32" s="1278" t="s">
        <v>41</v>
      </c>
      <c r="T32" s="1278"/>
      <c r="U32" s="797"/>
      <c r="V32" s="1280" t="str">
        <f>IF(TITLE_IST_PUB_CHANGE="",IF(TITLE_IST_PUB="","",TITLE_IST_PUB),TITLE_IST_PUB_CHANGE)</f>
        <v/>
      </c>
      <c r="W32" s="1280"/>
      <c r="X32" s="1280"/>
      <c r="Y32" s="1280"/>
      <c r="Z32" s="1280"/>
      <c r="AA32" s="1280"/>
      <c r="AB32" s="1280"/>
      <c r="AC32" s="9"/>
      <c r="AD32" s="1280" t="str">
        <f>IF(TITLE_IST_PUB_CHANGE="",IF(TITLE_IST_PUB="","",TITLE_IST_PUB),TITLE_IST_PUB_CHANGE)</f>
        <v/>
      </c>
      <c r="AE32" s="1280"/>
      <c r="AF32" s="1280"/>
      <c r="AG32" s="1280"/>
      <c r="AH32" s="1280"/>
      <c r="AI32" s="1280"/>
      <c r="AJ32" s="1280"/>
      <c r="AK32" s="9"/>
      <c r="AL32" s="9"/>
      <c r="AM32" s="162"/>
      <c r="AN32" s="66"/>
      <c r="AO32" s="66"/>
      <c r="AP32" s="66"/>
      <c r="AQ32" s="66"/>
      <c r="AR32" s="66"/>
    </row>
    <row r="33" spans="1:44" ht="14.25" hidden="1" customHeight="1">
      <c r="Q33" s="27"/>
      <c r="R33" s="27"/>
      <c r="S33" s="764"/>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4"/>
      <c r="M34" s="79"/>
      <c r="N34" s="79"/>
      <c r="O34" s="79"/>
      <c r="S34" s="1278" t="s">
        <v>496</v>
      </c>
      <c r="T34" s="1278"/>
      <c r="U34" s="797"/>
      <c r="V34" s="1279" t="str">
        <f>IF(TITLE_DATE_CHANGE_PERIOD="",IF(TITLE_DATE_PR="","",TITLE_DATE_PR),TITLE_DATE_CHANGE_PERIOD)</f>
        <v/>
      </c>
      <c r="W34" s="1279"/>
      <c r="X34" s="1279"/>
      <c r="Y34" s="1279"/>
      <c r="Z34" s="1279"/>
      <c r="AA34" s="1279"/>
      <c r="AB34" s="1279"/>
      <c r="AC34" s="9"/>
      <c r="AD34" s="1279" t="str">
        <f>IF(TITLE_DATE_CHANGE_PERIOD="",IF(TITLE_DATE_PR="","",TITLE_DATE_PR),TITLE_DATE_CHANGE_PERIOD)</f>
        <v/>
      </c>
      <c r="AE34" s="1279"/>
      <c r="AF34" s="1279"/>
      <c r="AG34" s="1279"/>
      <c r="AH34" s="1279"/>
      <c r="AI34" s="1279"/>
      <c r="AJ34" s="1279"/>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4"/>
      <c r="M35" s="79"/>
      <c r="N35" s="79"/>
      <c r="O35" s="79"/>
      <c r="S35" s="1278" t="s">
        <v>497</v>
      </c>
      <c r="T35" s="1278"/>
      <c r="U35" s="797"/>
      <c r="V35" s="1280" t="str">
        <f>IF(TITLE_NUMBER_PR_CHANGE="",IF(TITLE_NUMBER_PR="","",TITLE_NUMBER_PR),TITLE_NUMBER_PR_CHANGE)</f>
        <v/>
      </c>
      <c r="W35" s="1280"/>
      <c r="X35" s="1280"/>
      <c r="Y35" s="1280"/>
      <c r="Z35" s="1280"/>
      <c r="AA35" s="1280"/>
      <c r="AB35" s="1280"/>
      <c r="AC35" s="9"/>
      <c r="AD35" s="1280" t="str">
        <f>IF(TITLE_NUMBER_PR_CHANGE="",IF(TITLE_NUMBER_PR="","",TITLE_NUMBER_PR),TITLE_NUMBER_PR_CHANGE)</f>
        <v/>
      </c>
      <c r="AE35" s="1280"/>
      <c r="AF35" s="1280"/>
      <c r="AG35" s="1280"/>
      <c r="AH35" s="1280"/>
      <c r="AI35" s="1280"/>
      <c r="AJ35" s="1280"/>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4"/>
      <c r="M36" s="79"/>
      <c r="N36" s="79"/>
      <c r="O36" s="79"/>
      <c r="S36" s="9"/>
      <c r="T36" s="9"/>
      <c r="U36" s="75"/>
      <c r="V36" s="9"/>
      <c r="W36" s="9"/>
      <c r="X36" s="9"/>
      <c r="Y36" s="9"/>
      <c r="Z36" s="9"/>
      <c r="AA36" s="9"/>
      <c r="AB36" s="9"/>
      <c r="AC36" s="65" t="s">
        <v>498</v>
      </c>
      <c r="AD36" s="9"/>
      <c r="AE36" s="9"/>
      <c r="AF36" s="9"/>
      <c r="AG36" s="9"/>
      <c r="AH36" s="9"/>
      <c r="AI36" s="9"/>
      <c r="AJ36" s="9"/>
      <c r="AK36" s="65" t="s">
        <v>498</v>
      </c>
      <c r="AN36" s="66"/>
      <c r="AO36" s="66"/>
      <c r="AP36" s="66"/>
      <c r="AQ36" s="66"/>
      <c r="AR36" s="66"/>
    </row>
    <row r="37" spans="1:44" ht="14.25" customHeight="1">
      <c r="Q37" s="27"/>
      <c r="R37" s="27"/>
      <c r="S37" s="764"/>
      <c r="T37" s="8"/>
      <c r="U37" s="736"/>
      <c r="V37" s="1298"/>
      <c r="W37" s="1298"/>
      <c r="X37" s="1298"/>
      <c r="Y37" s="1298"/>
      <c r="Z37" s="1298"/>
      <c r="AA37" s="1298"/>
      <c r="AB37" s="1298"/>
      <c r="AC37" s="1298"/>
      <c r="AD37" s="1298"/>
      <c r="AE37" s="1298"/>
      <c r="AF37" s="1298"/>
      <c r="AG37" s="1298"/>
      <c r="AH37" s="1298"/>
      <c r="AI37" s="1298"/>
      <c r="AJ37" s="1298"/>
      <c r="AK37" s="1298"/>
    </row>
    <row r="38" spans="1:44" ht="14.25" customHeight="1">
      <c r="Q38" s="27"/>
      <c r="R38" s="27"/>
      <c r="S38" s="1082" t="s">
        <v>302</v>
      </c>
      <c r="T38" s="1082"/>
      <c r="U38" s="1082"/>
      <c r="V38" s="1082"/>
      <c r="W38" s="1082"/>
      <c r="X38" s="1082"/>
      <c r="Y38" s="1082"/>
      <c r="Z38" s="1082"/>
      <c r="AA38" s="1082"/>
      <c r="AB38" s="1082"/>
      <c r="AC38" s="1082"/>
      <c r="AD38" s="1082"/>
      <c r="AE38" s="1082"/>
      <c r="AF38" s="1082"/>
      <c r="AG38" s="1082"/>
      <c r="AH38" s="1082"/>
      <c r="AI38" s="1082"/>
      <c r="AJ38" s="1082"/>
      <c r="AK38" s="1082"/>
      <c r="AL38" s="1082"/>
      <c r="AM38" s="1082" t="s">
        <v>303</v>
      </c>
    </row>
    <row r="39" spans="1:44" ht="14.25" customHeight="1">
      <c r="Q39" s="27"/>
      <c r="R39" s="27"/>
      <c r="S39" s="1299" t="s">
        <v>88</v>
      </c>
      <c r="T39" s="1176" t="s">
        <v>499</v>
      </c>
      <c r="U39" s="171"/>
      <c r="V39" s="1300" t="s">
        <v>500</v>
      </c>
      <c r="W39" s="1301"/>
      <c r="X39" s="1301"/>
      <c r="Y39" s="1301"/>
      <c r="Z39" s="1301"/>
      <c r="AA39" s="1301"/>
      <c r="AB39" s="1302"/>
      <c r="AC39" s="1303" t="s">
        <v>501</v>
      </c>
      <c r="AD39" s="1300" t="s">
        <v>500</v>
      </c>
      <c r="AE39" s="1301"/>
      <c r="AF39" s="1301"/>
      <c r="AG39" s="1301"/>
      <c r="AH39" s="1301"/>
      <c r="AI39" s="1301"/>
      <c r="AJ39" s="1302"/>
      <c r="AK39" s="1303" t="s">
        <v>502</v>
      </c>
      <c r="AL39" s="1306" t="s">
        <v>503</v>
      </c>
      <c r="AM39" s="1082"/>
    </row>
    <row r="40" spans="1:44" ht="33.75" customHeight="1">
      <c r="Q40" s="27"/>
      <c r="R40" s="27"/>
      <c r="S40" s="1299"/>
      <c r="T40" s="1176"/>
      <c r="U40" s="621"/>
      <c r="V40" s="1145" t="s">
        <v>504</v>
      </c>
      <c r="W40" s="1295" t="s">
        <v>505</v>
      </c>
      <c r="X40" s="1063" t="s">
        <v>506</v>
      </c>
      <c r="Y40" s="1062"/>
      <c r="Z40" s="1063" t="s">
        <v>525</v>
      </c>
      <c r="AA40" s="1068"/>
      <c r="AB40" s="1062"/>
      <c r="AC40" s="1304"/>
      <c r="AD40" s="1145" t="s">
        <v>504</v>
      </c>
      <c r="AE40" s="1295" t="s">
        <v>505</v>
      </c>
      <c r="AF40" s="1063" t="s">
        <v>506</v>
      </c>
      <c r="AG40" s="1062"/>
      <c r="AH40" s="1063" t="s">
        <v>507</v>
      </c>
      <c r="AI40" s="1068"/>
      <c r="AJ40" s="1062"/>
      <c r="AK40" s="1304"/>
      <c r="AL40" s="1307"/>
      <c r="AM40" s="1082"/>
    </row>
    <row r="41" spans="1:44" ht="33.75" customHeight="1">
      <c r="A41" s="79"/>
      <c r="B41" s="79" t="s">
        <v>151</v>
      </c>
      <c r="C41" s="79" t="s">
        <v>152</v>
      </c>
      <c r="D41" s="79" t="s">
        <v>153</v>
      </c>
      <c r="E41" s="794" t="s">
        <v>508</v>
      </c>
      <c r="F41" s="794" t="s">
        <v>509</v>
      </c>
      <c r="G41" s="794" t="s">
        <v>510</v>
      </c>
      <c r="H41" s="794" t="s">
        <v>511</v>
      </c>
      <c r="I41" s="794" t="s">
        <v>512</v>
      </c>
      <c r="J41" s="794" t="s">
        <v>513</v>
      </c>
      <c r="K41" s="794" t="s">
        <v>514</v>
      </c>
      <c r="L41" s="794" t="s">
        <v>489</v>
      </c>
      <c r="Q41" s="27"/>
      <c r="R41" s="27"/>
      <c r="S41" s="1299"/>
      <c r="T41" s="1176"/>
      <c r="U41" s="172"/>
      <c r="V41" s="1200"/>
      <c r="W41" s="1296"/>
      <c r="X41" s="37" t="s">
        <v>515</v>
      </c>
      <c r="Y41" s="37" t="s">
        <v>516</v>
      </c>
      <c r="Z41" s="37" t="s">
        <v>517</v>
      </c>
      <c r="AA41" s="1182" t="s">
        <v>518</v>
      </c>
      <c r="AB41" s="1195"/>
      <c r="AC41" s="1305"/>
      <c r="AD41" s="1200"/>
      <c r="AE41" s="1296"/>
      <c r="AF41" s="37" t="s">
        <v>515</v>
      </c>
      <c r="AG41" s="37" t="s">
        <v>516</v>
      </c>
      <c r="AH41" s="37" t="s">
        <v>517</v>
      </c>
      <c r="AI41" s="1182" t="s">
        <v>518</v>
      </c>
      <c r="AJ41" s="1195"/>
      <c r="AK41" s="1305"/>
      <c r="AL41" s="1308"/>
      <c r="AM41" s="1082"/>
    </row>
    <row r="42" spans="1:44" s="209" customFormat="1" ht="11.25" hidden="1" customHeight="1">
      <c r="A42" s="79"/>
      <c r="B42" s="79"/>
      <c r="C42" s="79"/>
      <c r="D42" s="79"/>
      <c r="E42" s="79"/>
      <c r="F42" s="79"/>
      <c r="G42" s="79"/>
      <c r="H42" s="79"/>
      <c r="I42" s="79"/>
      <c r="J42" s="79"/>
      <c r="K42" s="79"/>
      <c r="L42" s="794"/>
      <c r="M42" s="519"/>
      <c r="N42" s="519"/>
      <c r="O42" s="519"/>
      <c r="P42" s="738"/>
      <c r="Q42" s="739"/>
      <c r="R42" s="747">
        <v>1</v>
      </c>
      <c r="S42" s="766" t="s">
        <v>119</v>
      </c>
      <c r="T42" s="748" t="s">
        <v>103</v>
      </c>
      <c r="U42" s="737" t="str">
        <f ca="1">OFFSET(U42,0,-1)</f>
        <v>2</v>
      </c>
      <c r="V42" s="749">
        <f ca="1">OFFSET(V42,0,-1)+1</f>
        <v>3</v>
      </c>
      <c r="W42" s="749"/>
      <c r="X42" s="749">
        <f ca="1">OFFSET(X42,0,-1)+1</f>
        <v>1</v>
      </c>
      <c r="Y42" s="749">
        <f ca="1">OFFSET(Y42,0,-1)+1</f>
        <v>2</v>
      </c>
      <c r="Z42" s="749">
        <f ca="1">OFFSET(Z42,0,-1)+1</f>
        <v>3</v>
      </c>
      <c r="AA42" s="1297">
        <f ca="1">OFFSET(AA42,0,-1)+1</f>
        <v>4</v>
      </c>
      <c r="AB42" s="1297"/>
      <c r="AC42" s="749">
        <f ca="1">OFFSET(AC42,0,-2)+1</f>
        <v>5</v>
      </c>
      <c r="AD42" s="749">
        <f ca="1">OFFSET(AD42,0,-1)+1</f>
        <v>6</v>
      </c>
      <c r="AE42" s="749"/>
      <c r="AF42" s="749">
        <f ca="1">OFFSET(AF42,0,-1)+1</f>
        <v>1</v>
      </c>
      <c r="AG42" s="749">
        <f ca="1">OFFSET(AG42,0,-1)+1</f>
        <v>2</v>
      </c>
      <c r="AH42" s="749">
        <f ca="1">OFFSET(AH42,0,-1)+1</f>
        <v>3</v>
      </c>
      <c r="AI42" s="1297">
        <f ca="1">OFFSET(AI42,0,-1)+1</f>
        <v>4</v>
      </c>
      <c r="AJ42" s="1297"/>
      <c r="AK42" s="749">
        <f ca="1">OFFSET(AK42,0,-2)+1</f>
        <v>5</v>
      </c>
      <c r="AL42" s="737">
        <f ca="1">OFFSET(AL42,0,-1)</f>
        <v>5</v>
      </c>
      <c r="AM42" s="749">
        <f ca="1">OFFSET(AM42,0,-1)+1</f>
        <v>6</v>
      </c>
      <c r="AN42" s="65"/>
      <c r="AO42" s="65"/>
      <c r="AP42" s="65"/>
      <c r="AQ42" s="65"/>
      <c r="AR42" s="65"/>
    </row>
    <row r="43" spans="1:44" ht="21" customHeight="1">
      <c r="A43" s="793" t="s">
        <v>178</v>
      </c>
      <c r="B43" s="793"/>
      <c r="C43" s="793"/>
      <c r="D43" s="793"/>
      <c r="E43" s="1287">
        <v>1</v>
      </c>
      <c r="F43" s="793"/>
      <c r="G43" s="793"/>
      <c r="H43" s="793"/>
      <c r="I43" s="793"/>
      <c r="J43" s="793"/>
      <c r="K43" s="793"/>
      <c r="L43" s="794"/>
      <c r="M43" s="433"/>
      <c r="N43" s="433"/>
      <c r="O43" s="433"/>
      <c r="Q43" s="2"/>
      <c r="R43" s="213"/>
      <c r="S43" s="725">
        <f>INDEX(PT_DIFFERENTIATION_NUM_NTAR,MATCH(A43,PT_DIFFERENTIATION_NTAR_ID,0))</f>
        <v>0</v>
      </c>
      <c r="T43" s="64" t="s">
        <v>139</v>
      </c>
      <c r="U43" s="170"/>
      <c r="V43" s="1281"/>
      <c r="W43" s="1282"/>
      <c r="X43" s="1282"/>
      <c r="Y43" s="1282"/>
      <c r="Z43" s="1282"/>
      <c r="AA43" s="1282"/>
      <c r="AB43" s="1282"/>
      <c r="AC43" s="1283"/>
      <c r="AD43" s="1281" t="str">
        <f>INDEX(PT_DIFFERENTIATION_NTAR,MATCH(A43,PT_DIFFERENTIATION_NTAR_ID,0))</f>
        <v/>
      </c>
      <c r="AE43" s="1282"/>
      <c r="AF43" s="1282"/>
      <c r="AG43" s="1282"/>
      <c r="AH43" s="1282"/>
      <c r="AI43" s="1282"/>
      <c r="AJ43" s="1282"/>
      <c r="AK43" s="1282"/>
      <c r="AL43" s="1283"/>
      <c r="AM43" s="75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3" t="s">
        <v>178</v>
      </c>
      <c r="B44" s="793" t="s">
        <v>179</v>
      </c>
      <c r="C44" s="793"/>
      <c r="D44" s="793"/>
      <c r="E44" s="1288"/>
      <c r="F44" s="1287">
        <v>1</v>
      </c>
      <c r="G44" s="793"/>
      <c r="H44" s="793"/>
      <c r="I44" s="793"/>
      <c r="J44" s="793"/>
      <c r="K44" s="793"/>
      <c r="L44" s="794"/>
      <c r="M44" s="433"/>
      <c r="N44" s="433"/>
      <c r="O44" s="433"/>
      <c r="P44" s="56"/>
      <c r="Q44" s="210"/>
      <c r="R44" s="211"/>
      <c r="S44" s="725" t="str">
        <f>INDEX(PT_DIFFERENTIATION_NUM_TER,MATCH(B44,PT_DIFFERENTIATION_TER_ID,0))</f>
        <v>.</v>
      </c>
      <c r="T44" s="178" t="s">
        <v>471</v>
      </c>
      <c r="U44" s="170"/>
      <c r="V44" s="1281"/>
      <c r="W44" s="1282"/>
      <c r="X44" s="1282"/>
      <c r="Y44" s="1282"/>
      <c r="Z44" s="1282"/>
      <c r="AA44" s="1282"/>
      <c r="AB44" s="1282"/>
      <c r="AC44" s="1283"/>
      <c r="AD44" s="1281" t="str">
        <f>INDEX(PT_DIFFERENTIATION_TER,MATCH(B44,PT_DIFFERENTIATION_TER_ID,0))</f>
        <v/>
      </c>
      <c r="AE44" s="1282"/>
      <c r="AF44" s="1282"/>
      <c r="AG44" s="1282"/>
      <c r="AH44" s="1282"/>
      <c r="AI44" s="1282"/>
      <c r="AJ44" s="1282"/>
      <c r="AK44" s="1282"/>
      <c r="AL44" s="1283"/>
      <c r="AM44" s="753" t="s">
        <v>472</v>
      </c>
      <c r="AO44" s="66"/>
      <c r="AP44" s="66" t="str">
        <f t="shared" si="1"/>
        <v>Территория действия тарифа</v>
      </c>
      <c r="AQ44" s="66"/>
      <c r="AR44" s="66"/>
    </row>
    <row r="45" spans="1:44" ht="23.25" customHeight="1">
      <c r="A45" s="793" t="s">
        <v>178</v>
      </c>
      <c r="B45" s="793" t="s">
        <v>179</v>
      </c>
      <c r="C45" s="793" t="s">
        <v>180</v>
      </c>
      <c r="D45" s="793"/>
      <c r="E45" s="1288"/>
      <c r="F45" s="1288"/>
      <c r="G45" s="1287">
        <v>1</v>
      </c>
      <c r="H45" s="793"/>
      <c r="I45" s="793"/>
      <c r="J45" s="793"/>
      <c r="K45" s="793"/>
      <c r="L45" s="794"/>
      <c r="M45" s="433"/>
      <c r="N45" s="433"/>
      <c r="O45" s="433"/>
      <c r="P45" s="212"/>
      <c r="Q45" s="210"/>
      <c r="R45" s="211"/>
      <c r="S45" s="725" t="str">
        <f>INDEX(PT_DIFFERENTIATION_NUM_CS,MATCH(C45,PT_DIFFERENTIATION_CS_ID,0))</f>
        <v>..</v>
      </c>
      <c r="T45" s="179" t="s">
        <v>473</v>
      </c>
      <c r="U45" s="170"/>
      <c r="V45" s="1281"/>
      <c r="W45" s="1282"/>
      <c r="X45" s="1282"/>
      <c r="Y45" s="1282"/>
      <c r="Z45" s="1282"/>
      <c r="AA45" s="1282"/>
      <c r="AB45" s="1282"/>
      <c r="AC45" s="1283"/>
      <c r="AD45" s="1281" t="str">
        <f>INDEX(PT_DIFFERENTIATION_CS,MATCH(C45,PT_DIFFERENTIATION_CS_ID,0))</f>
        <v/>
      </c>
      <c r="AE45" s="1282"/>
      <c r="AF45" s="1282"/>
      <c r="AG45" s="1282"/>
      <c r="AH45" s="1282"/>
      <c r="AI45" s="1282"/>
      <c r="AJ45" s="1282"/>
      <c r="AK45" s="1282"/>
      <c r="AL45" s="1283"/>
      <c r="AM45" s="753" t="s">
        <v>474</v>
      </c>
      <c r="AO45" s="66"/>
      <c r="AP45" s="66" t="str">
        <f t="shared" si="1"/>
        <v xml:space="preserve">Наименование системы теплоснабжения </v>
      </c>
      <c r="AQ45" s="66"/>
      <c r="AR45" s="66"/>
    </row>
    <row r="46" spans="1:44" ht="21" customHeight="1">
      <c r="A46" s="793" t="s">
        <v>178</v>
      </c>
      <c r="B46" s="793" t="s">
        <v>179</v>
      </c>
      <c r="C46" s="793" t="s">
        <v>180</v>
      </c>
      <c r="D46" s="793" t="s">
        <v>181</v>
      </c>
      <c r="E46" s="1288"/>
      <c r="F46" s="1288"/>
      <c r="G46" s="1288"/>
      <c r="H46" s="1287">
        <v>1</v>
      </c>
      <c r="I46" s="793"/>
      <c r="J46" s="793"/>
      <c r="K46" s="793"/>
      <c r="L46" s="794"/>
      <c r="M46" s="433"/>
      <c r="N46" s="433"/>
      <c r="O46" s="433"/>
      <c r="P46" s="212"/>
      <c r="Q46" s="210"/>
      <c r="R46" s="211"/>
      <c r="S46" s="725" t="str">
        <f>INDEX(PT_DIFFERENTIATION_NUM_IST_TE,MATCH(D46,PT_DIFFERENTIATION_IST_TE_ID,0))</f>
        <v>...</v>
      </c>
      <c r="T46" s="180" t="s">
        <v>475</v>
      </c>
      <c r="U46" s="170"/>
      <c r="V46" s="1281"/>
      <c r="W46" s="1282"/>
      <c r="X46" s="1282"/>
      <c r="Y46" s="1282"/>
      <c r="Z46" s="1282"/>
      <c r="AA46" s="1282"/>
      <c r="AB46" s="1282"/>
      <c r="AC46" s="1283"/>
      <c r="AD46" s="1281" t="str">
        <f>INDEX(PT_DIFFERENTIATION_IST_TE,MATCH(D46,PT_DIFFERENTIATION_IST_TE_ID,0))</f>
        <v/>
      </c>
      <c r="AE46" s="1282"/>
      <c r="AF46" s="1282"/>
      <c r="AG46" s="1282"/>
      <c r="AH46" s="1282"/>
      <c r="AI46" s="1282"/>
      <c r="AJ46" s="1282"/>
      <c r="AK46" s="1282"/>
      <c r="AL46" s="1283"/>
      <c r="AM46" s="753" t="s">
        <v>476</v>
      </c>
      <c r="AO46" s="66"/>
      <c r="AP46" s="66" t="str">
        <f t="shared" si="1"/>
        <v xml:space="preserve">Источник тепловой энергии  </v>
      </c>
      <c r="AQ46" s="66"/>
      <c r="AR46" s="66"/>
    </row>
    <row r="47" spans="1:44" ht="47.25" customHeight="1">
      <c r="A47" s="793" t="s">
        <v>178</v>
      </c>
      <c r="B47" s="793" t="s">
        <v>179</v>
      </c>
      <c r="C47" s="793" t="s">
        <v>180</v>
      </c>
      <c r="D47" s="793" t="s">
        <v>181</v>
      </c>
      <c r="E47" s="1288"/>
      <c r="F47" s="1288"/>
      <c r="G47" s="1288"/>
      <c r="H47" s="1288"/>
      <c r="I47" s="1289" t="str">
        <f>S46&amp;".1"</f>
        <v>....1</v>
      </c>
      <c r="J47" s="793"/>
      <c r="K47" s="793"/>
      <c r="L47" s="794" t="s">
        <v>477</v>
      </c>
      <c r="P47" s="1211">
        <v>1</v>
      </c>
      <c r="Q47" s="119"/>
      <c r="R47" s="214"/>
      <c r="S47" s="725" t="str">
        <f>$I47</f>
        <v>....1</v>
      </c>
      <c r="T47" s="163" t="s">
        <v>478</v>
      </c>
      <c r="U47" s="170"/>
      <c r="V47" s="1275"/>
      <c r="W47" s="1276"/>
      <c r="X47" s="1276"/>
      <c r="Y47" s="1276"/>
      <c r="Z47" s="1276"/>
      <c r="AA47" s="1276"/>
      <c r="AB47" s="1276"/>
      <c r="AC47" s="1277"/>
      <c r="AD47" s="1275"/>
      <c r="AE47" s="1276"/>
      <c r="AF47" s="1276"/>
      <c r="AG47" s="1276"/>
      <c r="AH47" s="1276"/>
      <c r="AI47" s="1276"/>
      <c r="AJ47" s="1276"/>
      <c r="AK47" s="1276"/>
      <c r="AL47" s="1277"/>
      <c r="AM47" s="753" t="s">
        <v>479</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3" t="s">
        <v>178</v>
      </c>
      <c r="B48" s="793" t="s">
        <v>179</v>
      </c>
      <c r="C48" s="793" t="s">
        <v>180</v>
      </c>
      <c r="D48" s="793" t="s">
        <v>181</v>
      </c>
      <c r="E48" s="1288"/>
      <c r="F48" s="1288"/>
      <c r="G48" s="1288"/>
      <c r="H48" s="1288"/>
      <c r="I48" s="1290"/>
      <c r="J48" s="1289" t="str">
        <f>I47&amp;".1"</f>
        <v>....1.1</v>
      </c>
      <c r="K48" s="793"/>
      <c r="L48" s="794" t="s">
        <v>480</v>
      </c>
      <c r="P48" s="1211"/>
      <c r="Q48" s="1211">
        <v>1</v>
      </c>
      <c r="R48" s="215"/>
      <c r="S48" s="725" t="str">
        <f>$J48</f>
        <v>....1.1</v>
      </c>
      <c r="T48" s="164" t="s">
        <v>481</v>
      </c>
      <c r="U48" s="170"/>
      <c r="V48" s="1275"/>
      <c r="W48" s="1276"/>
      <c r="X48" s="1276"/>
      <c r="Y48" s="1276"/>
      <c r="Z48" s="1276"/>
      <c r="AA48" s="1276"/>
      <c r="AB48" s="1276"/>
      <c r="AC48" s="1277"/>
      <c r="AD48" s="1275"/>
      <c r="AE48" s="1276"/>
      <c r="AF48" s="1276"/>
      <c r="AG48" s="1276"/>
      <c r="AH48" s="1276"/>
      <c r="AI48" s="1276"/>
      <c r="AJ48" s="1276"/>
      <c r="AK48" s="1276"/>
      <c r="AL48" s="1277"/>
      <c r="AM48" s="753" t="s">
        <v>482</v>
      </c>
      <c r="AO48" s="66"/>
      <c r="AP48" s="66" t="str">
        <f t="shared" si="1"/>
        <v>Группа потребителей</v>
      </c>
      <c r="AQ48" s="66"/>
      <c r="AR48" s="66"/>
    </row>
    <row r="49" spans="1:44" ht="21" customHeight="1">
      <c r="A49" s="793" t="s">
        <v>178</v>
      </c>
      <c r="B49" s="793" t="s">
        <v>179</v>
      </c>
      <c r="C49" s="793" t="s">
        <v>180</v>
      </c>
      <c r="D49" s="793" t="s">
        <v>181</v>
      </c>
      <c r="E49" s="1288"/>
      <c r="F49" s="1288"/>
      <c r="G49" s="1288"/>
      <c r="H49" s="1288"/>
      <c r="I49" s="1290"/>
      <c r="J49" s="1290"/>
      <c r="K49" s="1289" t="str">
        <f>J48&amp;".1"</f>
        <v>....1.1.1</v>
      </c>
      <c r="L49" s="794" t="s">
        <v>483</v>
      </c>
      <c r="P49" s="1211"/>
      <c r="Q49" s="1211"/>
      <c r="R49" s="215">
        <v>1</v>
      </c>
      <c r="S49" s="725" t="str">
        <f>$K49</f>
        <v>....1.1.1</v>
      </c>
      <c r="T49" s="789"/>
      <c r="U49" s="170"/>
      <c r="V49" s="317"/>
      <c r="W49" s="196"/>
      <c r="X49" s="317"/>
      <c r="Y49" s="752"/>
      <c r="Z49" s="1291"/>
      <c r="AA49" s="1092" t="s">
        <v>59</v>
      </c>
      <c r="AB49" s="1291"/>
      <c r="AC49" s="1092" t="s">
        <v>59</v>
      </c>
      <c r="AD49" s="317"/>
      <c r="AE49" s="196"/>
      <c r="AF49" s="317"/>
      <c r="AG49" s="752"/>
      <c r="AH49" s="1291"/>
      <c r="AI49" s="1092" t="s">
        <v>59</v>
      </c>
      <c r="AJ49" s="1293"/>
      <c r="AK49" s="1092" t="s">
        <v>59</v>
      </c>
      <c r="AL49" s="790"/>
      <c r="AM49" s="1309" t="s">
        <v>484</v>
      </c>
      <c r="AN49" s="65" t="e">
        <f ca="1">STRCHECKDATE(V50:AL50)</f>
        <v>#NAME?</v>
      </c>
      <c r="AO49" s="66"/>
      <c r="AP49" s="66" t="str">
        <f t="shared" si="1"/>
        <v/>
      </c>
      <c r="AQ49" s="66"/>
      <c r="AR49" s="66"/>
    </row>
    <row r="50" spans="1:44" ht="0.75" customHeight="1">
      <c r="A50" s="793" t="s">
        <v>178</v>
      </c>
      <c r="B50" s="793" t="s">
        <v>179</v>
      </c>
      <c r="C50" s="793" t="s">
        <v>180</v>
      </c>
      <c r="D50" s="793" t="s">
        <v>181</v>
      </c>
      <c r="E50" s="1288"/>
      <c r="F50" s="1288"/>
      <c r="G50" s="1288"/>
      <c r="H50" s="1288"/>
      <c r="I50" s="1290"/>
      <c r="J50" s="1290"/>
      <c r="K50" s="1289"/>
      <c r="L50" s="794"/>
      <c r="P50" s="1211"/>
      <c r="Q50" s="1211"/>
      <c r="R50" s="215"/>
      <c r="S50" s="62"/>
      <c r="T50" s="170"/>
      <c r="U50" s="170"/>
      <c r="V50" s="196"/>
      <c r="W50" s="196"/>
      <c r="X50" s="196"/>
      <c r="Y50" s="198" t="str">
        <f>Z49&amp;"-"&amp;AB49</f>
        <v>-</v>
      </c>
      <c r="Z50" s="1292"/>
      <c r="AA50" s="1092"/>
      <c r="AB50" s="1292"/>
      <c r="AC50" s="1092"/>
      <c r="AD50" s="196"/>
      <c r="AE50" s="196"/>
      <c r="AF50" s="196"/>
      <c r="AG50" s="198" t="str">
        <f>AH49&amp;"-"&amp;AJ49</f>
        <v>-</v>
      </c>
      <c r="AH50" s="1292"/>
      <c r="AI50" s="1092"/>
      <c r="AJ50" s="1294"/>
      <c r="AK50" s="1092"/>
      <c r="AL50" s="791"/>
      <c r="AM50" s="1310"/>
      <c r="AO50" s="66"/>
      <c r="AP50" s="66" t="str">
        <f t="shared" si="1"/>
        <v/>
      </c>
      <c r="AQ50" s="66"/>
      <c r="AR50" s="66"/>
    </row>
    <row r="51" spans="1:44" ht="11.25" customHeight="1">
      <c r="A51" s="793" t="s">
        <v>178</v>
      </c>
      <c r="B51" s="793" t="s">
        <v>179</v>
      </c>
      <c r="C51" s="793" t="s">
        <v>180</v>
      </c>
      <c r="D51" s="793" t="s">
        <v>181</v>
      </c>
      <c r="E51" s="1288"/>
      <c r="F51" s="1288"/>
      <c r="G51" s="1288"/>
      <c r="H51" s="1288"/>
      <c r="I51" s="1290"/>
      <c r="J51" s="1289"/>
      <c r="K51" s="793"/>
      <c r="L51" s="794"/>
      <c r="P51" s="1211"/>
      <c r="Q51" s="1211"/>
      <c r="R51" s="214"/>
      <c r="S51" s="767"/>
      <c r="T51" s="166" t="s">
        <v>485</v>
      </c>
      <c r="U51" s="221"/>
      <c r="V51" s="221"/>
      <c r="W51" s="221"/>
      <c r="X51" s="221"/>
      <c r="Y51" s="221"/>
      <c r="Z51" s="221"/>
      <c r="AA51" s="221"/>
      <c r="AB51" s="221"/>
      <c r="AC51" s="221"/>
      <c r="AD51" s="221"/>
      <c r="AE51" s="221"/>
      <c r="AF51" s="221"/>
      <c r="AG51" s="221"/>
      <c r="AH51" s="221"/>
      <c r="AI51" s="221"/>
      <c r="AJ51" s="221"/>
      <c r="AK51" s="221"/>
      <c r="AL51" s="195"/>
      <c r="AM51" s="1311"/>
      <c r="AO51" s="66"/>
      <c r="AP51" s="66" t="str">
        <f t="shared" si="1"/>
        <v>Добавить вид теплоносителя (параметры теплоносителя)</v>
      </c>
      <c r="AQ51" s="66"/>
      <c r="AR51" s="66"/>
    </row>
    <row r="52" spans="1:44" ht="11.25" customHeight="1">
      <c r="A52" s="793" t="s">
        <v>178</v>
      </c>
      <c r="B52" s="793" t="s">
        <v>179</v>
      </c>
      <c r="C52" s="793" t="s">
        <v>180</v>
      </c>
      <c r="D52" s="793" t="s">
        <v>181</v>
      </c>
      <c r="E52" s="1288"/>
      <c r="F52" s="1288"/>
      <c r="G52" s="1288"/>
      <c r="H52" s="1288"/>
      <c r="I52" s="1289"/>
      <c r="J52" s="793"/>
      <c r="K52" s="793"/>
      <c r="L52" s="794"/>
      <c r="P52" s="1211"/>
      <c r="Q52" s="119"/>
      <c r="R52" s="214"/>
      <c r="S52" s="767"/>
      <c r="T52" s="165" t="s">
        <v>486</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3" t="s">
        <v>178</v>
      </c>
      <c r="B53" s="793" t="s">
        <v>179</v>
      </c>
      <c r="C53" s="793" t="s">
        <v>180</v>
      </c>
      <c r="D53" s="793" t="s">
        <v>181</v>
      </c>
      <c r="E53" s="1288"/>
      <c r="F53" s="1288"/>
      <c r="G53" s="1288"/>
      <c r="H53" s="1287"/>
      <c r="I53" s="793"/>
      <c r="J53" s="793"/>
      <c r="K53" s="793"/>
      <c r="L53" s="794"/>
      <c r="M53" s="433"/>
      <c r="N53" s="433"/>
      <c r="O53" s="60"/>
      <c r="P53" s="2"/>
      <c r="Q53" s="224"/>
      <c r="R53" s="213"/>
      <c r="S53" s="767"/>
      <c r="T53" s="219" t="s">
        <v>487</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178</v>
      </c>
      <c r="B54" s="142" t="s">
        <v>179</v>
      </c>
      <c r="C54" s="142" t="s">
        <v>180</v>
      </c>
      <c r="D54" s="142"/>
      <c r="E54" s="1288"/>
      <c r="F54" s="1288"/>
      <c r="G54" s="1287"/>
      <c r="H54" s="142"/>
      <c r="I54" s="142"/>
      <c r="J54" s="142"/>
      <c r="K54" s="142"/>
      <c r="L54" s="355"/>
      <c r="M54" s="304"/>
      <c r="N54" s="304"/>
      <c r="P54" s="101"/>
      <c r="Q54" s="780"/>
      <c r="R54" s="101"/>
      <c r="S54" s="785"/>
      <c r="T54" s="787" t="s">
        <v>444</v>
      </c>
      <c r="U54" s="323"/>
      <c r="V54" s="323"/>
      <c r="W54" s="323"/>
      <c r="X54" s="323"/>
      <c r="Y54" s="323"/>
      <c r="Z54" s="323"/>
      <c r="AA54" s="323"/>
      <c r="AB54" s="323"/>
      <c r="AC54" s="323"/>
      <c r="AD54" s="323"/>
      <c r="AE54" s="323"/>
      <c r="AF54" s="323"/>
      <c r="AG54" s="323"/>
      <c r="AH54" s="323"/>
      <c r="AI54" s="323"/>
      <c r="AJ54" s="323"/>
      <c r="AK54" s="323"/>
      <c r="AL54" s="323"/>
      <c r="AM54" s="323"/>
      <c r="AO54" s="66"/>
      <c r="AP54" s="66" t="str">
        <f t="shared" si="1"/>
        <v>Добавить источник для дифференциации</v>
      </c>
      <c r="AQ54" s="66"/>
      <c r="AR54" s="66"/>
    </row>
    <row r="55" spans="1:44" s="65" customFormat="1" ht="0.75" customHeight="1">
      <c r="A55" s="142" t="s">
        <v>178</v>
      </c>
      <c r="B55" s="142" t="s">
        <v>179</v>
      </c>
      <c r="C55" s="142"/>
      <c r="D55" s="142"/>
      <c r="E55" s="1288"/>
      <c r="F55" s="1287"/>
      <c r="G55" s="142"/>
      <c r="H55" s="142"/>
      <c r="I55" s="142"/>
      <c r="J55" s="142"/>
      <c r="K55" s="142"/>
      <c r="L55" s="355"/>
      <c r="M55" s="784"/>
      <c r="N55" s="784"/>
      <c r="P55" s="101"/>
      <c r="Q55" s="780"/>
      <c r="R55" s="101"/>
      <c r="S55" s="785"/>
      <c r="T55" s="787" t="s">
        <v>445</v>
      </c>
      <c r="U55" s="323"/>
      <c r="V55" s="323"/>
      <c r="W55" s="323"/>
      <c r="X55" s="323"/>
      <c r="Y55" s="323"/>
      <c r="Z55" s="323"/>
      <c r="AA55" s="323"/>
      <c r="AB55" s="323"/>
      <c r="AC55" s="323"/>
      <c r="AD55" s="323"/>
      <c r="AE55" s="323"/>
      <c r="AF55" s="323"/>
      <c r="AG55" s="323"/>
      <c r="AH55" s="323"/>
      <c r="AI55" s="323"/>
      <c r="AJ55" s="323"/>
      <c r="AK55" s="323"/>
      <c r="AL55" s="323"/>
      <c r="AM55" s="323"/>
      <c r="AO55" s="66"/>
      <c r="AP55" s="66" t="str">
        <f t="shared" si="1"/>
        <v>Добавить централизованную систему для дифференциации</v>
      </c>
      <c r="AQ55" s="66"/>
      <c r="AR55" s="66"/>
    </row>
    <row r="56" spans="1:44" s="65" customFormat="1" ht="0.75" customHeight="1">
      <c r="A56" s="142" t="s">
        <v>178</v>
      </c>
      <c r="B56" s="142"/>
      <c r="C56" s="142"/>
      <c r="D56" s="142"/>
      <c r="E56" s="1287"/>
      <c r="F56" s="142"/>
      <c r="G56" s="142"/>
      <c r="H56" s="142"/>
      <c r="I56" s="142"/>
      <c r="J56" s="142"/>
      <c r="K56" s="142"/>
      <c r="L56" s="355"/>
      <c r="M56" s="784"/>
      <c r="N56" s="784"/>
      <c r="P56" s="101"/>
      <c r="Q56" s="780"/>
      <c r="R56" s="101"/>
      <c r="S56" s="785"/>
      <c r="T56" s="787" t="s">
        <v>446</v>
      </c>
      <c r="U56" s="323"/>
      <c r="V56" s="323"/>
      <c r="W56" s="323"/>
      <c r="X56" s="323"/>
      <c r="Y56" s="323"/>
      <c r="Z56" s="323"/>
      <c r="AA56" s="323"/>
      <c r="AB56" s="323"/>
      <c r="AC56" s="323"/>
      <c r="AD56" s="323"/>
      <c r="AE56" s="323"/>
      <c r="AF56" s="323"/>
      <c r="AG56" s="323"/>
      <c r="AH56" s="323"/>
      <c r="AI56" s="323"/>
      <c r="AJ56" s="323"/>
      <c r="AK56" s="323"/>
      <c r="AL56" s="323"/>
      <c r="AM56" s="323"/>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4"/>
      <c r="N57" s="784"/>
      <c r="P57" s="101"/>
      <c r="Q57" s="780"/>
      <c r="R57" s="101"/>
      <c r="S57" s="785"/>
      <c r="T57" s="787" t="s">
        <v>447</v>
      </c>
      <c r="U57" s="323"/>
      <c r="V57" s="323"/>
      <c r="W57" s="323"/>
      <c r="X57" s="323"/>
      <c r="Y57" s="323"/>
      <c r="Z57" s="323"/>
      <c r="AA57" s="323"/>
      <c r="AB57" s="323"/>
      <c r="AC57" s="323"/>
      <c r="AD57" s="323"/>
      <c r="AE57" s="323"/>
      <c r="AF57" s="323"/>
      <c r="AG57" s="323"/>
      <c r="AH57" s="323"/>
      <c r="AI57" s="323"/>
      <c r="AJ57" s="323"/>
      <c r="AK57" s="323"/>
      <c r="AL57" s="323"/>
      <c r="AM57" s="323"/>
      <c r="AO57" s="66"/>
      <c r="AP57" s="66" t="str">
        <f t="shared" si="1"/>
        <v>Добавить наименование тарифа</v>
      </c>
      <c r="AQ57" s="66"/>
      <c r="AR57" s="66"/>
    </row>
    <row r="58" spans="1:44" ht="11.25" hidden="1" customHeight="1">
      <c r="M58" s="60"/>
      <c r="N58" s="60"/>
      <c r="O58" s="60"/>
      <c r="P58" s="9"/>
      <c r="Q58" s="9"/>
      <c r="R58" s="9"/>
      <c r="S58" s="9"/>
      <c r="AN58" s="9"/>
      <c r="AO58" s="9"/>
      <c r="AP58" s="9"/>
      <c r="AQ58" s="9"/>
      <c r="AR58" s="9"/>
    </row>
    <row r="59" spans="1:44" ht="27" hidden="1" customHeight="1">
      <c r="O59" s="60"/>
      <c r="S59" s="204" t="s">
        <v>519</v>
      </c>
      <c r="T59" s="1286" t="s">
        <v>526</v>
      </c>
      <c r="U59" s="1286"/>
      <c r="V59" s="1286"/>
      <c r="W59" s="1286"/>
      <c r="X59" s="1286"/>
      <c r="Y59" s="1286"/>
      <c r="Z59" s="1286"/>
      <c r="AA59" s="1286"/>
      <c r="AB59" s="1286"/>
      <c r="AC59" s="1286"/>
      <c r="AD59" s="1286"/>
      <c r="AE59" s="1286"/>
      <c r="AF59" s="1286"/>
      <c r="AG59" s="1286"/>
      <c r="AH59" s="1286"/>
      <c r="AI59" s="1286"/>
      <c r="AJ59" s="1286"/>
      <c r="AK59" s="1286"/>
      <c r="AL59" s="1286"/>
      <c r="AM59" s="1286"/>
    </row>
    <row r="60" spans="1:44" ht="62.25" hidden="1" customHeight="1">
      <c r="O60" s="60"/>
      <c r="T60" s="1286" t="s">
        <v>521</v>
      </c>
      <c r="U60" s="1286"/>
      <c r="V60" s="1286"/>
      <c r="W60" s="1286"/>
      <c r="X60" s="1286"/>
      <c r="Y60" s="1286"/>
      <c r="Z60" s="1286"/>
      <c r="AA60" s="1286"/>
      <c r="AB60" s="1286"/>
      <c r="AC60" s="1286"/>
      <c r="AD60" s="1286"/>
      <c r="AE60" s="1286"/>
      <c r="AF60" s="1286"/>
      <c r="AG60" s="1286"/>
      <c r="AH60" s="1286"/>
      <c r="AI60" s="1286"/>
      <c r="AJ60" s="1286"/>
      <c r="AK60" s="1286"/>
      <c r="AL60" s="1286"/>
      <c r="AM60" s="1286"/>
    </row>
    <row r="61" spans="1:44" ht="14.25" hidden="1" customHeight="1">
      <c r="O61" s="60"/>
    </row>
    <row r="62" spans="1:44" ht="18" hidden="1" customHeight="1">
      <c r="O62" s="60"/>
      <c r="S62" s="204" t="s">
        <v>519</v>
      </c>
      <c r="T62" s="1286" t="s">
        <v>522</v>
      </c>
      <c r="U62" s="1286"/>
      <c r="V62" s="1286"/>
      <c r="W62" s="1286"/>
      <c r="X62" s="1286"/>
      <c r="Y62" s="1286"/>
      <c r="Z62" s="1286"/>
      <c r="AA62" s="1286"/>
      <c r="AB62" s="1286"/>
      <c r="AC62" s="1286"/>
      <c r="AD62" s="1286"/>
      <c r="AE62" s="1286"/>
      <c r="AF62" s="1286"/>
      <c r="AG62" s="1286"/>
      <c r="AH62" s="1286"/>
      <c r="AI62" s="1286"/>
      <c r="AJ62" s="1286"/>
      <c r="AK62" s="1286"/>
      <c r="AL62" s="1286"/>
      <c r="AM62" s="1286"/>
    </row>
    <row r="63" spans="1:44" ht="18" hidden="1" customHeight="1">
      <c r="O63" s="60"/>
      <c r="T63" s="1286" t="s">
        <v>523</v>
      </c>
      <c r="U63" s="1286"/>
      <c r="V63" s="1286"/>
      <c r="W63" s="1286"/>
      <c r="X63" s="1286"/>
      <c r="Y63" s="1286"/>
      <c r="Z63" s="1286"/>
      <c r="AA63" s="1286"/>
      <c r="AB63" s="1286"/>
      <c r="AC63" s="1286"/>
      <c r="AD63" s="1286"/>
      <c r="AE63" s="1286"/>
      <c r="AF63" s="1286"/>
      <c r="AG63" s="1286"/>
      <c r="AH63" s="1286"/>
      <c r="AI63" s="1286"/>
      <c r="AJ63" s="1286"/>
      <c r="AK63" s="1286"/>
      <c r="AL63" s="1286"/>
      <c r="AM63" s="1286"/>
    </row>
    <row r="64" spans="1:44" ht="27.75" hidden="1" customHeight="1">
      <c r="O64" s="60"/>
      <c r="S64" s="204"/>
      <c r="T64" s="1286" t="s">
        <v>524</v>
      </c>
      <c r="U64" s="1286"/>
      <c r="V64" s="1286"/>
      <c r="W64" s="1286"/>
      <c r="X64" s="1286"/>
      <c r="Y64" s="1286"/>
      <c r="Z64" s="1286"/>
      <c r="AA64" s="1286"/>
      <c r="AB64" s="1286"/>
      <c r="AC64" s="1286"/>
      <c r="AD64" s="1286"/>
      <c r="AE64" s="1286"/>
      <c r="AF64" s="1286"/>
      <c r="AG64" s="1286"/>
      <c r="AH64" s="1286"/>
      <c r="AI64" s="1286"/>
      <c r="AJ64" s="1286"/>
      <c r="AK64" s="1286"/>
      <c r="AL64" s="1286"/>
      <c r="AM64" s="1286"/>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E6D47-4A75-A488-4762-B8B8D60F846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2" style="9" customWidth="1"/>
    <col min="21" max="22" width="0.140625" style="9" customWidth="1"/>
    <col min="23" max="23" width="24.7109375" style="9" hidden="1" customWidth="1"/>
    <col min="24" max="25" width="0.14062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0.140625" style="9" customWidth="1"/>
    <col min="31" max="31" width="24.7109375" style="9" customWidth="1"/>
    <col min="32" max="33" width="0.14062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3"/>
      <c r="B2" s="793"/>
      <c r="C2" s="793"/>
      <c r="D2" s="793"/>
      <c r="E2" s="1287">
        <v>1</v>
      </c>
      <c r="F2" s="793"/>
      <c r="G2" s="793"/>
      <c r="H2" s="793"/>
      <c r="I2" s="793"/>
      <c r="J2" s="793"/>
      <c r="K2" s="793"/>
      <c r="L2" s="794"/>
      <c r="M2" s="433"/>
      <c r="N2" s="433"/>
      <c r="O2" s="433"/>
      <c r="Q2" s="2"/>
      <c r="R2" s="213"/>
      <c r="S2" s="725" t="e">
        <f>INDEX(PT_DIFFERENTIATION_NUM_NTAR,MATCH(A2,PT_DIFFERENTIATION_NTAR_ID,0))</f>
        <v>#N/A</v>
      </c>
      <c r="T2" s="64" t="s">
        <v>139</v>
      </c>
      <c r="U2" s="170"/>
      <c r="V2" s="1281"/>
      <c r="W2" s="1282"/>
      <c r="X2" s="1282"/>
      <c r="Y2" s="1282"/>
      <c r="Z2" s="1282"/>
      <c r="AA2" s="1282"/>
      <c r="AB2" s="1282"/>
      <c r="AC2" s="1283"/>
      <c r="AD2" s="1281" t="e">
        <f>INDEX(PT_DIFFERENTIATION_NTAR,MATCH(A2,PT_DIFFERENTIATION_NTAR_ID,0))</f>
        <v>#N/A</v>
      </c>
      <c r="AE2" s="1282"/>
      <c r="AF2" s="1282"/>
      <c r="AG2" s="1282"/>
      <c r="AH2" s="1282"/>
      <c r="AI2" s="1282"/>
      <c r="AJ2" s="1282"/>
      <c r="AK2" s="1282"/>
      <c r="AL2" s="1283"/>
      <c r="AM2" s="753" t="s">
        <v>470</v>
      </c>
      <c r="AO2" s="66"/>
      <c r="AP2" s="66" t="str">
        <f t="shared" ref="AP2:AP15" si="0">IF(T2="","",T2)</f>
        <v>Наименование тарифа</v>
      </c>
      <c r="AQ2" s="66"/>
      <c r="AR2" s="66"/>
    </row>
    <row r="3" spans="1:44" ht="21" hidden="1" customHeight="1">
      <c r="A3" s="793"/>
      <c r="B3" s="793"/>
      <c r="C3" s="793"/>
      <c r="D3" s="793"/>
      <c r="E3" s="1288"/>
      <c r="F3" s="1287">
        <v>1</v>
      </c>
      <c r="G3" s="793"/>
      <c r="H3" s="793"/>
      <c r="I3" s="793"/>
      <c r="J3" s="793"/>
      <c r="K3" s="793"/>
      <c r="L3" s="794"/>
      <c r="M3" s="433"/>
      <c r="N3" s="433"/>
      <c r="O3" s="433"/>
      <c r="P3" s="56"/>
      <c r="Q3" s="210"/>
      <c r="R3" s="211"/>
      <c r="S3" s="725" t="e">
        <f>INDEX(PT_DIFFERENTIATION_NUM_TER,MATCH(B3,PT_DIFFERENTIATION_TER_ID,0))</f>
        <v>#N/A</v>
      </c>
      <c r="T3" s="178" t="s">
        <v>471</v>
      </c>
      <c r="U3" s="170"/>
      <c r="V3" s="1281"/>
      <c r="W3" s="1282"/>
      <c r="X3" s="1282"/>
      <c r="Y3" s="1282"/>
      <c r="Z3" s="1282"/>
      <c r="AA3" s="1282"/>
      <c r="AB3" s="1282"/>
      <c r="AC3" s="1283"/>
      <c r="AD3" s="1281" t="e">
        <f>INDEX(PT_DIFFERENTIATION_TER,MATCH(B3,PT_DIFFERENTIATION_TER_ID,0))</f>
        <v>#N/A</v>
      </c>
      <c r="AE3" s="1282"/>
      <c r="AF3" s="1282"/>
      <c r="AG3" s="1282"/>
      <c r="AH3" s="1282"/>
      <c r="AI3" s="1282"/>
      <c r="AJ3" s="1282"/>
      <c r="AK3" s="1282"/>
      <c r="AL3" s="1283"/>
      <c r="AM3" s="753" t="s">
        <v>472</v>
      </c>
      <c r="AO3" s="66"/>
      <c r="AP3" s="66" t="str">
        <f t="shared" si="0"/>
        <v>Территория действия тарифа</v>
      </c>
      <c r="AQ3" s="66"/>
      <c r="AR3" s="66"/>
    </row>
    <row r="4" spans="1:44" ht="23.25" hidden="1" customHeight="1">
      <c r="A4" s="793"/>
      <c r="B4" s="793"/>
      <c r="C4" s="793"/>
      <c r="D4" s="793"/>
      <c r="E4" s="1288"/>
      <c r="F4" s="1288"/>
      <c r="G4" s="1287">
        <v>1</v>
      </c>
      <c r="H4" s="793"/>
      <c r="I4" s="793"/>
      <c r="J4" s="793"/>
      <c r="K4" s="793"/>
      <c r="L4" s="794"/>
      <c r="M4" s="433"/>
      <c r="N4" s="433"/>
      <c r="O4" s="433"/>
      <c r="P4" s="212"/>
      <c r="Q4" s="210"/>
      <c r="R4" s="211"/>
      <c r="S4" s="725" t="e">
        <f>INDEX(PT_DIFFERENTIATION_NUM_CS,MATCH(C4,PT_DIFFERENTIATION_CS_ID,0))</f>
        <v>#N/A</v>
      </c>
      <c r="T4" s="179" t="s">
        <v>473</v>
      </c>
      <c r="U4" s="170"/>
      <c r="V4" s="1281"/>
      <c r="W4" s="1282"/>
      <c r="X4" s="1282"/>
      <c r="Y4" s="1282"/>
      <c r="Z4" s="1282"/>
      <c r="AA4" s="1282"/>
      <c r="AB4" s="1282"/>
      <c r="AC4" s="1283"/>
      <c r="AD4" s="1281" t="e">
        <f>INDEX(PT_DIFFERENTIATION_CS,MATCH(C4,PT_DIFFERENTIATION_CS_ID,0))</f>
        <v>#N/A</v>
      </c>
      <c r="AE4" s="1282"/>
      <c r="AF4" s="1282"/>
      <c r="AG4" s="1282"/>
      <c r="AH4" s="1282"/>
      <c r="AI4" s="1282"/>
      <c r="AJ4" s="1282"/>
      <c r="AK4" s="1282"/>
      <c r="AL4" s="1283"/>
      <c r="AM4" s="753" t="s">
        <v>474</v>
      </c>
      <c r="AO4" s="66"/>
      <c r="AP4" s="66" t="str">
        <f t="shared" si="0"/>
        <v xml:space="preserve">Наименование системы теплоснабжения </v>
      </c>
      <c r="AQ4" s="66"/>
      <c r="AR4" s="66"/>
    </row>
    <row r="5" spans="1:44" ht="21" hidden="1" customHeight="1">
      <c r="A5" s="793"/>
      <c r="B5" s="793"/>
      <c r="C5" s="793"/>
      <c r="D5" s="793"/>
      <c r="E5" s="1288"/>
      <c r="F5" s="1288"/>
      <c r="G5" s="1288"/>
      <c r="H5" s="1287">
        <v>1</v>
      </c>
      <c r="I5" s="793"/>
      <c r="J5" s="793"/>
      <c r="K5" s="793"/>
      <c r="L5" s="794"/>
      <c r="M5" s="433"/>
      <c r="N5" s="433"/>
      <c r="O5" s="433"/>
      <c r="P5" s="212"/>
      <c r="Q5" s="210"/>
      <c r="R5" s="211"/>
      <c r="S5" s="725" t="e">
        <f>INDEX(PT_DIFFERENTIATION_NUM_IST_TE,MATCH(D5,PT_DIFFERENTIATION_IST_TE_ID,0))</f>
        <v>#N/A</v>
      </c>
      <c r="T5" s="180" t="s">
        <v>475</v>
      </c>
      <c r="U5" s="170"/>
      <c r="V5" s="1281"/>
      <c r="W5" s="1282"/>
      <c r="X5" s="1282"/>
      <c r="Y5" s="1282"/>
      <c r="Z5" s="1282"/>
      <c r="AA5" s="1282"/>
      <c r="AB5" s="1282"/>
      <c r="AC5" s="1283"/>
      <c r="AD5" s="1281" t="e">
        <f>INDEX(PT_DIFFERENTIATION_IST_TE,MATCH(D5,PT_DIFFERENTIATION_IST_TE_ID,0))</f>
        <v>#N/A</v>
      </c>
      <c r="AE5" s="1282"/>
      <c r="AF5" s="1282"/>
      <c r="AG5" s="1282"/>
      <c r="AH5" s="1282"/>
      <c r="AI5" s="1282"/>
      <c r="AJ5" s="1282"/>
      <c r="AK5" s="1282"/>
      <c r="AL5" s="1283"/>
      <c r="AM5" s="753" t="s">
        <v>476</v>
      </c>
      <c r="AO5" s="66"/>
      <c r="AP5" s="66" t="str">
        <f t="shared" si="0"/>
        <v xml:space="preserve">Источник тепловой энергии  </v>
      </c>
      <c r="AQ5" s="66"/>
      <c r="AR5" s="66"/>
    </row>
    <row r="6" spans="1:44" ht="47.25" hidden="1" customHeight="1">
      <c r="A6" s="793"/>
      <c r="B6" s="793"/>
      <c r="C6" s="793"/>
      <c r="D6" s="793"/>
      <c r="E6" s="1288"/>
      <c r="F6" s="1288"/>
      <c r="G6" s="1288"/>
      <c r="H6" s="1288"/>
      <c r="I6" s="1289" t="e">
        <f>S5&amp;".1"</f>
        <v>#N/A</v>
      </c>
      <c r="J6" s="793"/>
      <c r="K6" s="793"/>
      <c r="L6" s="794" t="s">
        <v>477</v>
      </c>
      <c r="M6" s="60"/>
      <c r="P6" s="1211">
        <v>1</v>
      </c>
      <c r="Q6" s="119"/>
      <c r="R6" s="214"/>
      <c r="S6" s="725" t="e">
        <f>$I6</f>
        <v>#N/A</v>
      </c>
      <c r="T6" s="163" t="s">
        <v>478</v>
      </c>
      <c r="U6" s="170"/>
      <c r="V6" s="1275"/>
      <c r="W6" s="1276"/>
      <c r="X6" s="1276"/>
      <c r="Y6" s="1276"/>
      <c r="Z6" s="1276"/>
      <c r="AA6" s="1276"/>
      <c r="AB6" s="1276"/>
      <c r="AC6" s="1277"/>
      <c r="AD6" s="1275"/>
      <c r="AE6" s="1276"/>
      <c r="AF6" s="1276"/>
      <c r="AG6" s="1276"/>
      <c r="AH6" s="1276"/>
      <c r="AI6" s="1276"/>
      <c r="AJ6" s="1276"/>
      <c r="AK6" s="1276"/>
      <c r="AL6" s="1277"/>
      <c r="AM6" s="753" t="s">
        <v>479</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3"/>
      <c r="B7" s="793"/>
      <c r="C7" s="793"/>
      <c r="D7" s="793"/>
      <c r="E7" s="1288"/>
      <c r="F7" s="1288"/>
      <c r="G7" s="1288"/>
      <c r="H7" s="1288"/>
      <c r="I7" s="1290"/>
      <c r="J7" s="1289" t="e">
        <f>I6&amp;".1"</f>
        <v>#N/A</v>
      </c>
      <c r="K7" s="793"/>
      <c r="L7" s="794" t="s">
        <v>480</v>
      </c>
      <c r="M7" s="60"/>
      <c r="N7" s="60"/>
      <c r="P7" s="1211"/>
      <c r="Q7" s="1211">
        <v>1</v>
      </c>
      <c r="R7" s="215"/>
      <c r="S7" s="725" t="e">
        <f>$J7</f>
        <v>#N/A</v>
      </c>
      <c r="T7" s="164" t="s">
        <v>481</v>
      </c>
      <c r="U7" s="170"/>
      <c r="V7" s="1275"/>
      <c r="W7" s="1276"/>
      <c r="X7" s="1276"/>
      <c r="Y7" s="1276"/>
      <c r="Z7" s="1276"/>
      <c r="AA7" s="1276"/>
      <c r="AB7" s="1276"/>
      <c r="AC7" s="1277"/>
      <c r="AD7" s="1275"/>
      <c r="AE7" s="1276"/>
      <c r="AF7" s="1276"/>
      <c r="AG7" s="1276"/>
      <c r="AH7" s="1276"/>
      <c r="AI7" s="1276"/>
      <c r="AJ7" s="1276"/>
      <c r="AK7" s="1276"/>
      <c r="AL7" s="1277"/>
      <c r="AM7" s="753" t="s">
        <v>482</v>
      </c>
      <c r="AO7" s="66"/>
      <c r="AP7" s="66" t="str">
        <f t="shared" si="0"/>
        <v>Группа потребителей</v>
      </c>
      <c r="AQ7" s="66"/>
      <c r="AR7" s="66"/>
    </row>
    <row r="8" spans="1:44" ht="21" hidden="1" customHeight="1">
      <c r="A8" s="793"/>
      <c r="B8" s="793"/>
      <c r="C8" s="793"/>
      <c r="D8" s="793"/>
      <c r="E8" s="1288"/>
      <c r="F8" s="1288"/>
      <c r="G8" s="1288"/>
      <c r="H8" s="1288"/>
      <c r="I8" s="1290"/>
      <c r="J8" s="1290"/>
      <c r="K8" s="1289" t="e">
        <f>J7&amp;".1"</f>
        <v>#N/A</v>
      </c>
      <c r="L8" s="794" t="s">
        <v>483</v>
      </c>
      <c r="M8" s="60"/>
      <c r="N8" s="60"/>
      <c r="O8" s="60"/>
      <c r="P8" s="1211"/>
      <c r="Q8" s="1211"/>
      <c r="R8" s="215">
        <v>1</v>
      </c>
      <c r="S8" s="725" t="e">
        <f>$K8</f>
        <v>#N/A</v>
      </c>
      <c r="T8" s="789"/>
      <c r="U8" s="170"/>
      <c r="V8" s="196"/>
      <c r="W8" s="317"/>
      <c r="X8" s="196"/>
      <c r="Y8" s="231"/>
      <c r="Z8" s="1291"/>
      <c r="AA8" s="1092" t="s">
        <v>59</v>
      </c>
      <c r="AB8" s="1291"/>
      <c r="AC8" s="1092" t="s">
        <v>59</v>
      </c>
      <c r="AD8" s="196"/>
      <c r="AE8" s="317"/>
      <c r="AF8" s="196"/>
      <c r="AG8" s="231"/>
      <c r="AH8" s="1291"/>
      <c r="AI8" s="1092" t="s">
        <v>59</v>
      </c>
      <c r="AJ8" s="1291"/>
      <c r="AK8" s="1092" t="s">
        <v>59</v>
      </c>
      <c r="AL8" s="196"/>
      <c r="AM8" s="1309" t="s">
        <v>484</v>
      </c>
      <c r="AN8" s="65" t="e">
        <f ca="1">STRCHECKDATE(V9:AL9)</f>
        <v>#NAME?</v>
      </c>
      <c r="AO8" s="66"/>
      <c r="AP8" s="66" t="str">
        <f t="shared" si="0"/>
        <v/>
      </c>
      <c r="AQ8" s="66"/>
      <c r="AR8" s="66"/>
    </row>
    <row r="9" spans="1:44" ht="0.75" hidden="1" customHeight="1">
      <c r="A9" s="793"/>
      <c r="B9" s="793"/>
      <c r="C9" s="793"/>
      <c r="D9" s="793"/>
      <c r="E9" s="1288"/>
      <c r="F9" s="1288"/>
      <c r="G9" s="1288"/>
      <c r="H9" s="1288"/>
      <c r="I9" s="1290"/>
      <c r="J9" s="1290"/>
      <c r="K9" s="1289"/>
      <c r="L9" s="794"/>
      <c r="M9" s="60"/>
      <c r="N9" s="60"/>
      <c r="O9" s="60"/>
      <c r="P9" s="1211"/>
      <c r="Q9" s="1211"/>
      <c r="R9" s="215"/>
      <c r="S9" s="62"/>
      <c r="T9" s="170"/>
      <c r="U9" s="170"/>
      <c r="V9" s="196"/>
      <c r="W9" s="196"/>
      <c r="X9" s="196"/>
      <c r="Y9" s="198" t="str">
        <f>Z8&amp;"-"&amp;AB8</f>
        <v>-</v>
      </c>
      <c r="Z9" s="1292"/>
      <c r="AA9" s="1092"/>
      <c r="AB9" s="1292"/>
      <c r="AC9" s="1092"/>
      <c r="AD9" s="196"/>
      <c r="AE9" s="196"/>
      <c r="AF9" s="196"/>
      <c r="AG9" s="198" t="str">
        <f>AH8&amp;"-"&amp;AJ8</f>
        <v>-</v>
      </c>
      <c r="AH9" s="1292"/>
      <c r="AI9" s="1092"/>
      <c r="AJ9" s="1292"/>
      <c r="AK9" s="1092"/>
      <c r="AL9" s="196"/>
      <c r="AM9" s="1310"/>
      <c r="AO9" s="66"/>
      <c r="AP9" s="66" t="str">
        <f t="shared" si="0"/>
        <v/>
      </c>
      <c r="AQ9" s="66"/>
      <c r="AR9" s="66"/>
    </row>
    <row r="10" spans="1:44" ht="15" hidden="1" customHeight="1">
      <c r="A10" s="793"/>
      <c r="B10" s="793"/>
      <c r="C10" s="793"/>
      <c r="D10" s="793"/>
      <c r="E10" s="1288"/>
      <c r="F10" s="1288"/>
      <c r="G10" s="1288"/>
      <c r="H10" s="1288"/>
      <c r="I10" s="1290"/>
      <c r="J10" s="1289"/>
      <c r="K10" s="793"/>
      <c r="L10" s="794"/>
      <c r="M10" s="60"/>
      <c r="N10" s="60"/>
      <c r="P10" s="1211"/>
      <c r="Q10" s="1211"/>
      <c r="R10" s="214"/>
      <c r="S10" s="767"/>
      <c r="T10" s="166" t="s">
        <v>485</v>
      </c>
      <c r="U10" s="221"/>
      <c r="V10" s="221"/>
      <c r="W10" s="221"/>
      <c r="X10" s="221"/>
      <c r="Y10" s="221"/>
      <c r="Z10" s="221"/>
      <c r="AA10" s="221"/>
      <c r="AB10" s="221"/>
      <c r="AC10" s="221"/>
      <c r="AD10" s="221"/>
      <c r="AE10" s="221"/>
      <c r="AF10" s="221"/>
      <c r="AG10" s="221"/>
      <c r="AH10" s="221"/>
      <c r="AI10" s="221"/>
      <c r="AJ10" s="221"/>
      <c r="AK10" s="221"/>
      <c r="AL10" s="195"/>
      <c r="AM10" s="1311"/>
      <c r="AO10" s="66"/>
      <c r="AP10" s="66" t="str">
        <f t="shared" si="0"/>
        <v>Добавить вид теплоносителя (параметры теплоносителя)</v>
      </c>
      <c r="AQ10" s="66"/>
      <c r="AR10" s="66"/>
    </row>
    <row r="11" spans="1:44" ht="15" hidden="1" customHeight="1">
      <c r="A11" s="793"/>
      <c r="B11" s="793"/>
      <c r="C11" s="793"/>
      <c r="D11" s="793"/>
      <c r="E11" s="1288"/>
      <c r="F11" s="1288"/>
      <c r="G11" s="1288"/>
      <c r="H11" s="1288"/>
      <c r="I11" s="1289"/>
      <c r="J11" s="793"/>
      <c r="K11" s="793"/>
      <c r="L11" s="794"/>
      <c r="M11" s="60"/>
      <c r="P11" s="1211"/>
      <c r="Q11" s="119"/>
      <c r="R11" s="214"/>
      <c r="S11" s="767"/>
      <c r="T11" s="165" t="s">
        <v>486</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3"/>
      <c r="B12" s="793"/>
      <c r="C12" s="793"/>
      <c r="D12" s="793"/>
      <c r="E12" s="1288"/>
      <c r="F12" s="1288"/>
      <c r="G12" s="1288"/>
      <c r="H12" s="1287"/>
      <c r="I12" s="793"/>
      <c r="J12" s="793"/>
      <c r="K12" s="793"/>
      <c r="L12" s="794"/>
      <c r="M12" s="433"/>
      <c r="N12" s="433"/>
      <c r="O12" s="60"/>
      <c r="P12" s="2"/>
      <c r="Q12" s="224"/>
      <c r="R12" s="213"/>
      <c r="S12" s="767"/>
      <c r="T12" s="219" t="s">
        <v>487</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88"/>
      <c r="F13" s="1288"/>
      <c r="G13" s="1287"/>
      <c r="H13" s="142"/>
      <c r="I13" s="142"/>
      <c r="J13" s="142"/>
      <c r="K13" s="142"/>
      <c r="L13" s="355"/>
      <c r="M13" s="304"/>
      <c r="N13" s="304"/>
      <c r="P13" s="101"/>
      <c r="Q13" s="780"/>
      <c r="R13" s="101"/>
      <c r="S13" s="781"/>
      <c r="T13" s="782" t="s">
        <v>444</v>
      </c>
      <c r="U13" s="783"/>
      <c r="V13" s="783"/>
      <c r="W13" s="783"/>
      <c r="X13" s="783"/>
      <c r="Y13" s="783"/>
      <c r="Z13" s="783"/>
      <c r="AA13" s="783"/>
      <c r="AB13" s="783"/>
      <c r="AC13" s="783"/>
      <c r="AD13" s="783"/>
      <c r="AE13" s="783"/>
      <c r="AF13" s="783"/>
      <c r="AG13" s="783"/>
      <c r="AH13" s="783"/>
      <c r="AI13" s="783"/>
      <c r="AJ13" s="783"/>
      <c r="AK13" s="783"/>
      <c r="AL13" s="783"/>
      <c r="AM13" s="783"/>
      <c r="AO13" s="66"/>
      <c r="AP13" s="66" t="str">
        <f t="shared" si="0"/>
        <v>Добавить источник для дифференциации</v>
      </c>
      <c r="AQ13" s="66"/>
      <c r="AR13" s="66"/>
    </row>
    <row r="14" spans="1:44" s="65" customFormat="1" ht="0.75" hidden="1" customHeight="1">
      <c r="A14" s="142"/>
      <c r="B14" s="142"/>
      <c r="C14" s="142"/>
      <c r="D14" s="142"/>
      <c r="E14" s="1288"/>
      <c r="F14" s="1287"/>
      <c r="G14" s="142"/>
      <c r="H14" s="142"/>
      <c r="I14" s="142"/>
      <c r="J14" s="142"/>
      <c r="K14" s="142"/>
      <c r="L14" s="355"/>
      <c r="M14" s="784"/>
      <c r="N14" s="784"/>
      <c r="P14" s="101"/>
      <c r="Q14" s="780"/>
      <c r="R14" s="101"/>
      <c r="S14" s="785"/>
      <c r="T14" s="786" t="s">
        <v>445</v>
      </c>
      <c r="U14" s="323"/>
      <c r="V14" s="323"/>
      <c r="W14" s="323"/>
      <c r="X14" s="323"/>
      <c r="Y14" s="323"/>
      <c r="Z14" s="323"/>
      <c r="AA14" s="323"/>
      <c r="AB14" s="323"/>
      <c r="AC14" s="323"/>
      <c r="AD14" s="323"/>
      <c r="AE14" s="323"/>
      <c r="AF14" s="323"/>
      <c r="AG14" s="323"/>
      <c r="AH14" s="323"/>
      <c r="AI14" s="323"/>
      <c r="AJ14" s="323"/>
      <c r="AK14" s="323"/>
      <c r="AL14" s="323"/>
      <c r="AM14" s="323"/>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87"/>
      <c r="F15" s="142"/>
      <c r="G15" s="142"/>
      <c r="H15" s="142"/>
      <c r="I15" s="142"/>
      <c r="J15" s="142"/>
      <c r="K15" s="142"/>
      <c r="L15" s="355"/>
      <c r="M15" s="784"/>
      <c r="N15" s="784"/>
      <c r="P15" s="101"/>
      <c r="Q15" s="780"/>
      <c r="R15" s="101"/>
      <c r="S15" s="785"/>
      <c r="T15" s="787" t="s">
        <v>446</v>
      </c>
      <c r="U15" s="323"/>
      <c r="V15" s="323"/>
      <c r="W15" s="323"/>
      <c r="X15" s="323"/>
      <c r="Y15" s="323"/>
      <c r="Z15" s="323"/>
      <c r="AA15" s="323"/>
      <c r="AB15" s="323"/>
      <c r="AC15" s="323"/>
      <c r="AD15" s="323"/>
      <c r="AE15" s="323"/>
      <c r="AF15" s="323"/>
      <c r="AG15" s="323"/>
      <c r="AH15" s="323"/>
      <c r="AI15" s="323"/>
      <c r="AJ15" s="323"/>
      <c r="AK15" s="323"/>
      <c r="AL15" s="323"/>
      <c r="AM15" s="323"/>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2"/>
      <c r="AH17" s="1285"/>
      <c r="AI17" s="1284" t="s">
        <v>59</v>
      </c>
      <c r="AJ17" s="1285"/>
      <c r="AK17" s="1284" t="s">
        <v>59</v>
      </c>
    </row>
    <row r="18" spans="1:44" ht="14.25" hidden="1" customHeight="1">
      <c r="AD18" s="376"/>
      <c r="AE18" s="376"/>
      <c r="AF18" s="376"/>
      <c r="AG18" s="198" t="str">
        <f>AH17&amp;"-"&amp;AJ17</f>
        <v>-</v>
      </c>
      <c r="AH18" s="1284"/>
      <c r="AI18" s="1284"/>
      <c r="AJ18" s="1284"/>
      <c r="AK18" s="1284"/>
    </row>
    <row r="19" spans="1:44" ht="14.25" hidden="1" customHeight="1"/>
    <row r="20" spans="1:44" s="60" customFormat="1" ht="22.5" hidden="1" customHeight="1">
      <c r="L20" s="312"/>
      <c r="M20" s="519"/>
      <c r="N20" s="519"/>
      <c r="O20" s="795" t="s">
        <v>488</v>
      </c>
      <c r="P20" s="519"/>
      <c r="Q20" s="796"/>
      <c r="R20" s="796"/>
      <c r="S20" s="433"/>
      <c r="Z20" s="795"/>
      <c r="AB20" s="795"/>
      <c r="AH20" s="795"/>
      <c r="AJ20" s="795"/>
      <c r="AN20" s="65"/>
      <c r="AO20" s="65"/>
      <c r="AP20" s="65"/>
      <c r="AQ20" s="65"/>
      <c r="AR20" s="65"/>
    </row>
    <row r="21" spans="1:44" s="60" customFormat="1" ht="14.25" hidden="1" customHeight="1">
      <c r="L21" s="312"/>
      <c r="M21" s="519"/>
      <c r="N21" s="519"/>
      <c r="O21" s="519"/>
      <c r="P21" s="519"/>
      <c r="Q21" s="796"/>
      <c r="R21" s="796"/>
      <c r="S21" s="433"/>
      <c r="AN21" s="65"/>
      <c r="AO21" s="65"/>
      <c r="AP21" s="65"/>
      <c r="AQ21" s="65"/>
      <c r="AR21" s="65"/>
    </row>
    <row r="22" spans="1:44" s="60" customFormat="1" ht="33.75" hidden="1" customHeight="1">
      <c r="L22" s="312"/>
      <c r="M22" s="519"/>
      <c r="N22" s="519"/>
      <c r="O22" s="794" t="s">
        <v>489</v>
      </c>
      <c r="P22" s="519"/>
      <c r="Q22" s="796"/>
      <c r="R22" s="796"/>
      <c r="S22" s="433"/>
      <c r="T22" s="60" t="s">
        <v>490</v>
      </c>
      <c r="AA22" s="79" t="s">
        <v>491</v>
      </c>
      <c r="AC22" s="79" t="s">
        <v>492</v>
      </c>
      <c r="AD22" s="60" t="s">
        <v>490</v>
      </c>
      <c r="AI22" s="79" t="s">
        <v>493</v>
      </c>
      <c r="AK22" s="79" t="s">
        <v>492</v>
      </c>
      <c r="AN22" s="65"/>
      <c r="AO22" s="65"/>
      <c r="AP22" s="65"/>
      <c r="AQ22" s="65"/>
      <c r="AR22" s="65"/>
    </row>
    <row r="23" spans="1:44" ht="14.25" hidden="1" customHeight="1">
      <c r="O23" s="794"/>
    </row>
    <row r="24" spans="1:44" ht="14.25" hidden="1" customHeight="1">
      <c r="O24" s="794"/>
    </row>
    <row r="25" spans="1:44" ht="14.25" customHeight="1">
      <c r="Q25" s="27"/>
      <c r="R25" s="27"/>
      <c r="S25" s="764"/>
      <c r="T25" s="8"/>
      <c r="U25" s="8"/>
    </row>
    <row r="26" spans="1:44" ht="88.5" customHeight="1">
      <c r="Q26" s="27"/>
      <c r="R26" s="27"/>
      <c r="S26" s="1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312"/>
      <c r="U26" s="1312"/>
      <c r="V26" s="1312"/>
      <c r="W26" s="1312"/>
      <c r="X26" s="1312"/>
      <c r="Y26" s="1312"/>
      <c r="Z26" s="1312"/>
      <c r="AA26" s="1312"/>
      <c r="AB26" s="1312"/>
      <c r="AC26" s="1312"/>
      <c r="AD26" s="1312"/>
      <c r="AE26" s="1312"/>
      <c r="AF26" s="1312"/>
      <c r="AG26" s="1312"/>
      <c r="AH26" s="1312"/>
      <c r="AI26" s="1312"/>
      <c r="AJ26" s="1312"/>
      <c r="AK26" s="57"/>
    </row>
    <row r="27" spans="1:44" ht="14.25" customHeight="1">
      <c r="Q27" s="27"/>
      <c r="R27" s="27"/>
      <c r="S27" s="1178" t="str">
        <f>IF(org=0,"Не определено",org)</f>
        <v>ООО "Концессионная Коммунальная Компания"</v>
      </c>
      <c r="T27" s="1178"/>
      <c r="U27" s="1178"/>
      <c r="V27" s="1178"/>
      <c r="W27" s="1178"/>
      <c r="X27" s="1178"/>
      <c r="Y27" s="1178"/>
      <c r="Z27" s="1178"/>
      <c r="AA27" s="1178"/>
      <c r="AB27" s="1178"/>
      <c r="AC27" s="1178"/>
      <c r="AD27" s="1178"/>
      <c r="AE27" s="1178"/>
      <c r="AF27" s="1178"/>
      <c r="AG27" s="1178"/>
      <c r="AH27" s="1178"/>
      <c r="AI27" s="1178"/>
      <c r="AJ27" s="1178"/>
      <c r="AK27" s="57"/>
    </row>
    <row r="28" spans="1:44" ht="14.25" hidden="1" customHeight="1">
      <c r="Q28" s="27"/>
      <c r="R28" s="27"/>
      <c r="S28" s="764"/>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4"/>
      <c r="M29" s="79"/>
      <c r="N29" s="79"/>
      <c r="O29" s="79"/>
      <c r="S29" s="1278" t="s">
        <v>40</v>
      </c>
      <c r="T29" s="1278"/>
      <c r="U29" s="797"/>
      <c r="V29" s="1280" t="str">
        <f>IF(TITLE_NAME_OR_PR_CHANGE="",IF(TITLE_NAME_OR_PR="","",TITLE_NAME_OR_PR),TITLE_NAME_OR_PR_CHANGE)</f>
        <v/>
      </c>
      <c r="W29" s="1280"/>
      <c r="X29" s="1280"/>
      <c r="Y29" s="1280"/>
      <c r="Z29" s="1280"/>
      <c r="AA29" s="1280"/>
      <c r="AB29" s="1280"/>
      <c r="AC29" s="9"/>
      <c r="AD29" s="1280" t="str">
        <f>IF(TITLE_NAME_OR_PR_CHANGE="",IF(TITLE_NAME_OR_PR="","",TITLE_NAME_OR_PR),TITLE_NAME_OR_PR_CHANGE)</f>
        <v/>
      </c>
      <c r="AE29" s="1280"/>
      <c r="AF29" s="1280"/>
      <c r="AG29" s="1280"/>
      <c r="AH29" s="1280"/>
      <c r="AI29" s="1280"/>
      <c r="AJ29" s="1280"/>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4"/>
      <c r="M30" s="79"/>
      <c r="N30" s="79"/>
      <c r="O30" s="79"/>
      <c r="S30" s="1278" t="s">
        <v>494</v>
      </c>
      <c r="T30" s="1278"/>
      <c r="U30" s="797"/>
      <c r="V30" s="1279" t="str">
        <f>IF(TITLE_DATE_CHANGE_PERIOD="",IF(TITLE_DATE_PR="","",TITLE_DATE_PR),TITLE_DATE_CHANGE_PERIOD)</f>
        <v/>
      </c>
      <c r="W30" s="1279"/>
      <c r="X30" s="1279"/>
      <c r="Y30" s="1279"/>
      <c r="Z30" s="1279"/>
      <c r="AA30" s="1279"/>
      <c r="AB30" s="1279"/>
      <c r="AC30" s="9"/>
      <c r="AD30" s="1279" t="str">
        <f>IF(TITLE_DATE_CHANGE_PERIOD="",IF(TITLE_DATE_PR="","",TITLE_DATE_PR),TITLE_DATE_CHANGE_PERIOD)</f>
        <v/>
      </c>
      <c r="AE30" s="1279"/>
      <c r="AF30" s="1279"/>
      <c r="AG30" s="1279"/>
      <c r="AH30" s="1279"/>
      <c r="AI30" s="1279"/>
      <c r="AJ30" s="1279"/>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4"/>
      <c r="M31" s="79"/>
      <c r="N31" s="79"/>
      <c r="O31" s="79"/>
      <c r="S31" s="1278" t="s">
        <v>495</v>
      </c>
      <c r="T31" s="1278"/>
      <c r="U31" s="797"/>
      <c r="V31" s="1280" t="str">
        <f>IF(TITLE_NUMBER_PR_CHANGE="",IF(TITLE_NUMBER_PR="","",TITLE_NUMBER_PR),TITLE_NUMBER_PR_CHANGE)</f>
        <v/>
      </c>
      <c r="W31" s="1280"/>
      <c r="X31" s="1280"/>
      <c r="Y31" s="1280"/>
      <c r="Z31" s="1280"/>
      <c r="AA31" s="1280"/>
      <c r="AB31" s="1280"/>
      <c r="AC31" s="9"/>
      <c r="AD31" s="1280" t="str">
        <f>IF(TITLE_NUMBER_PR_CHANGE="",IF(TITLE_NUMBER_PR="","",TITLE_NUMBER_PR),TITLE_NUMBER_PR_CHANGE)</f>
        <v/>
      </c>
      <c r="AE31" s="1280"/>
      <c r="AF31" s="1280"/>
      <c r="AG31" s="1280"/>
      <c r="AH31" s="1280"/>
      <c r="AI31" s="1280"/>
      <c r="AJ31" s="1280"/>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4"/>
      <c r="M32" s="79"/>
      <c r="N32" s="79"/>
      <c r="O32" s="79"/>
      <c r="S32" s="1278" t="s">
        <v>41</v>
      </c>
      <c r="T32" s="1278"/>
      <c r="U32" s="797"/>
      <c r="V32" s="1280" t="str">
        <f>IF(TITLE_IST_PUB_CHANGE="",IF(TITLE_IST_PUB="","",TITLE_IST_PUB),TITLE_IST_PUB_CHANGE)</f>
        <v/>
      </c>
      <c r="W32" s="1280"/>
      <c r="X32" s="1280"/>
      <c r="Y32" s="1280"/>
      <c r="Z32" s="1280"/>
      <c r="AA32" s="1280"/>
      <c r="AB32" s="1280"/>
      <c r="AC32" s="9"/>
      <c r="AD32" s="1280" t="str">
        <f>IF(TITLE_IST_PUB_CHANGE="",IF(TITLE_IST_PUB="","",TITLE_IST_PUB),TITLE_IST_PUB_CHANGE)</f>
        <v/>
      </c>
      <c r="AE32" s="1280"/>
      <c r="AF32" s="1280"/>
      <c r="AG32" s="1280"/>
      <c r="AH32" s="1280"/>
      <c r="AI32" s="1280"/>
      <c r="AJ32" s="1280"/>
      <c r="AK32" s="9"/>
      <c r="AL32" s="9"/>
      <c r="AM32" s="162"/>
      <c r="AN32" s="66"/>
      <c r="AO32" s="66"/>
      <c r="AP32" s="66"/>
      <c r="AQ32" s="66"/>
      <c r="AR32" s="66"/>
    </row>
    <row r="33" spans="1:44" ht="14.25" hidden="1" customHeight="1">
      <c r="Q33" s="27"/>
      <c r="R33" s="27"/>
      <c r="S33" s="764"/>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4"/>
      <c r="M34" s="79"/>
      <c r="N34" s="79"/>
      <c r="O34" s="79"/>
      <c r="S34" s="1278" t="s">
        <v>496</v>
      </c>
      <c r="T34" s="1278"/>
      <c r="U34" s="797"/>
      <c r="V34" s="1279" t="str">
        <f>IF(TITLE_DATE_CHANGE_PERIOD="",IF(TITLE_DATE_PR="","",TITLE_DATE_PR),TITLE_DATE_CHANGE_PERIOD)</f>
        <v/>
      </c>
      <c r="W34" s="1279"/>
      <c r="X34" s="1279"/>
      <c r="Y34" s="1279"/>
      <c r="Z34" s="1279"/>
      <c r="AA34" s="1279"/>
      <c r="AB34" s="1279"/>
      <c r="AC34" s="9"/>
      <c r="AD34" s="1279" t="str">
        <f>IF(TITLE_DATE_CHANGE_PERIOD="",IF(TITLE_DATE_PR="","",TITLE_DATE_PR),TITLE_DATE_CHANGE_PERIOD)</f>
        <v/>
      </c>
      <c r="AE34" s="1279"/>
      <c r="AF34" s="1279"/>
      <c r="AG34" s="1279"/>
      <c r="AH34" s="1279"/>
      <c r="AI34" s="1279"/>
      <c r="AJ34" s="1279"/>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4"/>
      <c r="M35" s="79"/>
      <c r="N35" s="79"/>
      <c r="O35" s="79"/>
      <c r="S35" s="1278" t="s">
        <v>497</v>
      </c>
      <c r="T35" s="1278"/>
      <c r="U35" s="797"/>
      <c r="V35" s="1280" t="str">
        <f>IF(TITLE_NUMBER_PR_CHANGE="",IF(TITLE_NUMBER_PR="","",TITLE_NUMBER_PR),TITLE_NUMBER_PR_CHANGE)</f>
        <v/>
      </c>
      <c r="W35" s="1280"/>
      <c r="X35" s="1280"/>
      <c r="Y35" s="1280"/>
      <c r="Z35" s="1280"/>
      <c r="AA35" s="1280"/>
      <c r="AB35" s="1280"/>
      <c r="AC35" s="9"/>
      <c r="AD35" s="1280" t="str">
        <f>IF(TITLE_NUMBER_PR_CHANGE="",IF(TITLE_NUMBER_PR="","",TITLE_NUMBER_PR),TITLE_NUMBER_PR_CHANGE)</f>
        <v/>
      </c>
      <c r="AE35" s="1280"/>
      <c r="AF35" s="1280"/>
      <c r="AG35" s="1280"/>
      <c r="AH35" s="1280"/>
      <c r="AI35" s="1280"/>
      <c r="AJ35" s="1280"/>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4"/>
      <c r="M36" s="79"/>
      <c r="N36" s="79"/>
      <c r="O36" s="79"/>
      <c r="S36" s="9"/>
      <c r="T36" s="9"/>
      <c r="U36" s="75"/>
      <c r="V36" s="9"/>
      <c r="W36" s="9"/>
      <c r="X36" s="9"/>
      <c r="Y36" s="9"/>
      <c r="Z36" s="9"/>
      <c r="AA36" s="9"/>
      <c r="AB36" s="9"/>
      <c r="AC36" s="65" t="s">
        <v>498</v>
      </c>
      <c r="AD36" s="9"/>
      <c r="AE36" s="9"/>
      <c r="AF36" s="9"/>
      <c r="AG36" s="9"/>
      <c r="AH36" s="9"/>
      <c r="AI36" s="9"/>
      <c r="AJ36" s="9"/>
      <c r="AK36" s="65" t="s">
        <v>498</v>
      </c>
      <c r="AN36" s="66"/>
      <c r="AO36" s="66"/>
      <c r="AP36" s="66"/>
      <c r="AQ36" s="66"/>
      <c r="AR36" s="66"/>
    </row>
    <row r="37" spans="1:44" ht="14.25" customHeight="1">
      <c r="Q37" s="27"/>
      <c r="R37" s="27"/>
      <c r="S37" s="764"/>
      <c r="T37" s="8"/>
      <c r="U37" s="736"/>
      <c r="V37" s="1298"/>
      <c r="W37" s="1298"/>
      <c r="X37" s="1298"/>
      <c r="Y37" s="1298"/>
      <c r="Z37" s="1298"/>
      <c r="AA37" s="1298"/>
      <c r="AB37" s="1298"/>
      <c r="AC37" s="1298"/>
      <c r="AD37" s="1298"/>
      <c r="AE37" s="1298"/>
      <c r="AF37" s="1298"/>
      <c r="AG37" s="1298"/>
      <c r="AH37" s="1298"/>
      <c r="AI37" s="1298"/>
      <c r="AJ37" s="1298"/>
      <c r="AK37" s="1298"/>
    </row>
    <row r="38" spans="1:44" ht="14.25" customHeight="1">
      <c r="Q38" s="27"/>
      <c r="R38" s="27"/>
      <c r="S38" s="1082" t="s">
        <v>302</v>
      </c>
      <c r="T38" s="1082"/>
      <c r="U38" s="1082"/>
      <c r="V38" s="1082"/>
      <c r="W38" s="1082"/>
      <c r="X38" s="1082"/>
      <c r="Y38" s="1082"/>
      <c r="Z38" s="1082"/>
      <c r="AA38" s="1082"/>
      <c r="AB38" s="1082"/>
      <c r="AC38" s="1082"/>
      <c r="AD38" s="1082"/>
      <c r="AE38" s="1082"/>
      <c r="AF38" s="1082"/>
      <c r="AG38" s="1082"/>
      <c r="AH38" s="1082"/>
      <c r="AI38" s="1082"/>
      <c r="AJ38" s="1082"/>
      <c r="AK38" s="1082"/>
      <c r="AL38" s="1082"/>
      <c r="AM38" s="1082" t="s">
        <v>303</v>
      </c>
    </row>
    <row r="39" spans="1:44" ht="14.25" customHeight="1">
      <c r="Q39" s="27"/>
      <c r="R39" s="27"/>
      <c r="S39" s="1299" t="s">
        <v>88</v>
      </c>
      <c r="T39" s="1176" t="s">
        <v>499</v>
      </c>
      <c r="U39" s="171"/>
      <c r="V39" s="1300" t="s">
        <v>500</v>
      </c>
      <c r="W39" s="1301"/>
      <c r="X39" s="1315"/>
      <c r="Y39" s="1315"/>
      <c r="Z39" s="1301"/>
      <c r="AA39" s="1301"/>
      <c r="AB39" s="1302"/>
      <c r="AC39" s="1303" t="s">
        <v>501</v>
      </c>
      <c r="AD39" s="1300" t="s">
        <v>500</v>
      </c>
      <c r="AE39" s="1301"/>
      <c r="AF39" s="1315"/>
      <c r="AG39" s="1315"/>
      <c r="AH39" s="1301"/>
      <c r="AI39" s="1301"/>
      <c r="AJ39" s="1302"/>
      <c r="AK39" s="1303" t="s">
        <v>502</v>
      </c>
      <c r="AL39" s="1306" t="s">
        <v>503</v>
      </c>
      <c r="AM39" s="1082"/>
    </row>
    <row r="40" spans="1:44" ht="23.25" customHeight="1">
      <c r="Q40" s="27"/>
      <c r="R40" s="27"/>
      <c r="S40" s="1299"/>
      <c r="T40" s="1176"/>
      <c r="U40" s="621"/>
      <c r="V40" s="1313" t="s">
        <v>504</v>
      </c>
      <c r="W40" s="1146" t="s">
        <v>505</v>
      </c>
      <c r="X40" s="327" t="s">
        <v>506</v>
      </c>
      <c r="Y40" s="327"/>
      <c r="Z40" s="1068" t="s">
        <v>507</v>
      </c>
      <c r="AA40" s="1068"/>
      <c r="AB40" s="1062"/>
      <c r="AC40" s="1304"/>
      <c r="AD40" s="1313" t="s">
        <v>504</v>
      </c>
      <c r="AE40" s="1146" t="s">
        <v>505</v>
      </c>
      <c r="AF40" s="327" t="s">
        <v>506</v>
      </c>
      <c r="AG40" s="327"/>
      <c r="AH40" s="1068" t="s">
        <v>507</v>
      </c>
      <c r="AI40" s="1068"/>
      <c r="AJ40" s="1062"/>
      <c r="AK40" s="1304"/>
      <c r="AL40" s="1307"/>
      <c r="AM40" s="1082"/>
    </row>
    <row r="41" spans="1:44" s="15" customFormat="1" ht="23.25" customHeight="1">
      <c r="A41" s="79"/>
      <c r="B41" s="79" t="s">
        <v>151</v>
      </c>
      <c r="C41" s="79" t="s">
        <v>152</v>
      </c>
      <c r="D41" s="79" t="s">
        <v>153</v>
      </c>
      <c r="E41" s="794" t="s">
        <v>508</v>
      </c>
      <c r="F41" s="794" t="s">
        <v>509</v>
      </c>
      <c r="G41" s="794" t="s">
        <v>510</v>
      </c>
      <c r="H41" s="794" t="s">
        <v>511</v>
      </c>
      <c r="I41" s="794" t="s">
        <v>512</v>
      </c>
      <c r="J41" s="794" t="s">
        <v>513</v>
      </c>
      <c r="K41" s="794" t="s">
        <v>514</v>
      </c>
      <c r="L41" s="794" t="s">
        <v>489</v>
      </c>
      <c r="M41" s="519"/>
      <c r="N41" s="519"/>
      <c r="O41" s="519"/>
      <c r="P41" s="32"/>
      <c r="Q41" s="27"/>
      <c r="R41" s="27"/>
      <c r="S41" s="1299"/>
      <c r="T41" s="1176"/>
      <c r="U41" s="172"/>
      <c r="V41" s="1314"/>
      <c r="W41" s="1151"/>
      <c r="X41" s="326" t="s">
        <v>515</v>
      </c>
      <c r="Y41" s="326" t="s">
        <v>516</v>
      </c>
      <c r="Z41" s="788" t="s">
        <v>517</v>
      </c>
      <c r="AA41" s="1182" t="s">
        <v>518</v>
      </c>
      <c r="AB41" s="1195"/>
      <c r="AC41" s="1305"/>
      <c r="AD41" s="1314"/>
      <c r="AE41" s="1151"/>
      <c r="AF41" s="326" t="s">
        <v>515</v>
      </c>
      <c r="AG41" s="326" t="s">
        <v>516</v>
      </c>
      <c r="AH41" s="788" t="s">
        <v>517</v>
      </c>
      <c r="AI41" s="1182" t="s">
        <v>518</v>
      </c>
      <c r="AJ41" s="1195"/>
      <c r="AK41" s="1305"/>
      <c r="AL41" s="1308"/>
      <c r="AM41" s="1082"/>
      <c r="AN41" s="65"/>
      <c r="AO41" s="66"/>
      <c r="AP41" s="66"/>
      <c r="AQ41" s="66"/>
      <c r="AR41" s="66"/>
    </row>
    <row r="42" spans="1:44" s="209" customFormat="1" ht="11.25" hidden="1" customHeight="1">
      <c r="A42" s="79"/>
      <c r="B42" s="79"/>
      <c r="C42" s="79"/>
      <c r="D42" s="79"/>
      <c r="E42" s="79"/>
      <c r="F42" s="79"/>
      <c r="G42" s="79"/>
      <c r="H42" s="79"/>
      <c r="I42" s="79"/>
      <c r="J42" s="79"/>
      <c r="K42" s="79"/>
      <c r="L42" s="794"/>
      <c r="M42" s="519"/>
      <c r="N42" s="519"/>
      <c r="O42" s="519"/>
      <c r="P42" s="738"/>
      <c r="Q42" s="739"/>
      <c r="R42" s="747">
        <v>1</v>
      </c>
      <c r="S42" s="766" t="s">
        <v>119</v>
      </c>
      <c r="T42" s="748" t="s">
        <v>103</v>
      </c>
      <c r="U42" s="737" t="str">
        <f ca="1">OFFSET(U42,0,-1)</f>
        <v>2</v>
      </c>
      <c r="V42" s="749">
        <f ca="1">OFFSET(V42,0,-1)+1</f>
        <v>3</v>
      </c>
      <c r="W42" s="749"/>
      <c r="X42" s="298">
        <f ca="1">OFFSET(X42,0,-1)+1</f>
        <v>1</v>
      </c>
      <c r="Y42" s="298">
        <f ca="1">OFFSET(Y42,0,-1)+1</f>
        <v>2</v>
      </c>
      <c r="Z42" s="749">
        <f ca="1">OFFSET(Z42,0,-1)+1</f>
        <v>3</v>
      </c>
      <c r="AA42" s="1297">
        <f ca="1">OFFSET(AA42,0,-1)+1</f>
        <v>4</v>
      </c>
      <c r="AB42" s="1297"/>
      <c r="AC42" s="749">
        <f ca="1">OFFSET(AC42,0,-2)+1</f>
        <v>5</v>
      </c>
      <c r="AD42" s="749">
        <f ca="1">OFFSET(AD42,0,-1)+1</f>
        <v>6</v>
      </c>
      <c r="AE42" s="749"/>
      <c r="AF42" s="298">
        <f ca="1">OFFSET(AF42,0,-1)+1</f>
        <v>1</v>
      </c>
      <c r="AG42" s="298">
        <f ca="1">OFFSET(AG42,0,-1)+1</f>
        <v>2</v>
      </c>
      <c r="AH42" s="749">
        <f ca="1">OFFSET(AH42,0,-1)+1</f>
        <v>3</v>
      </c>
      <c r="AI42" s="1297">
        <f ca="1">OFFSET(AI42,0,-1)+1</f>
        <v>4</v>
      </c>
      <c r="AJ42" s="1297"/>
      <c r="AK42" s="749">
        <f ca="1">OFFSET(AK42,0,-2)+1</f>
        <v>5</v>
      </c>
      <c r="AL42" s="737">
        <f ca="1">OFFSET(AL42,0,-1)</f>
        <v>5</v>
      </c>
      <c r="AM42" s="749">
        <f ca="1">OFFSET(AM42,0,-1)+1</f>
        <v>6</v>
      </c>
      <c r="AN42" s="65"/>
      <c r="AO42" s="65"/>
      <c r="AP42" s="65"/>
      <c r="AQ42" s="65"/>
      <c r="AR42" s="65"/>
    </row>
    <row r="43" spans="1:44" ht="21" customHeight="1">
      <c r="A43" s="793" t="s">
        <v>208</v>
      </c>
      <c r="B43" s="793"/>
      <c r="C43" s="793"/>
      <c r="D43" s="793"/>
      <c r="E43" s="1287">
        <v>1</v>
      </c>
      <c r="F43" s="793"/>
      <c r="G43" s="793"/>
      <c r="H43" s="793"/>
      <c r="I43" s="793"/>
      <c r="J43" s="793"/>
      <c r="K43" s="793"/>
      <c r="L43" s="794"/>
      <c r="M43" s="433"/>
      <c r="N43" s="433"/>
      <c r="O43" s="433"/>
      <c r="Q43" s="2"/>
      <c r="R43" s="213"/>
      <c r="S43" s="725">
        <f>INDEX(PT_DIFFERENTIATION_NUM_NTAR,MATCH(A43,PT_DIFFERENTIATION_NTAR_ID,0))</f>
        <v>0</v>
      </c>
      <c r="T43" s="64" t="s">
        <v>139</v>
      </c>
      <c r="U43" s="170"/>
      <c r="V43" s="1281"/>
      <c r="W43" s="1282"/>
      <c r="X43" s="1282"/>
      <c r="Y43" s="1282"/>
      <c r="Z43" s="1282"/>
      <c r="AA43" s="1282"/>
      <c r="AB43" s="1282"/>
      <c r="AC43" s="1283"/>
      <c r="AD43" s="1281" t="str">
        <f>INDEX(PT_DIFFERENTIATION_NTAR,MATCH(A43,PT_DIFFERENTIATION_NTAR_ID,0))</f>
        <v/>
      </c>
      <c r="AE43" s="1282"/>
      <c r="AF43" s="1282"/>
      <c r="AG43" s="1282"/>
      <c r="AH43" s="1282"/>
      <c r="AI43" s="1282"/>
      <c r="AJ43" s="1282"/>
      <c r="AK43" s="1282"/>
      <c r="AL43" s="1283"/>
      <c r="AM43" s="75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3" t="s">
        <v>208</v>
      </c>
      <c r="B44" s="793" t="s">
        <v>209</v>
      </c>
      <c r="C44" s="793"/>
      <c r="D44" s="793"/>
      <c r="E44" s="1288"/>
      <c r="F44" s="1287">
        <v>1</v>
      </c>
      <c r="G44" s="793"/>
      <c r="H44" s="793"/>
      <c r="I44" s="793"/>
      <c r="J44" s="793"/>
      <c r="K44" s="793"/>
      <c r="L44" s="794"/>
      <c r="M44" s="433"/>
      <c r="N44" s="433"/>
      <c r="O44" s="433"/>
      <c r="P44" s="56"/>
      <c r="Q44" s="210"/>
      <c r="R44" s="211"/>
      <c r="S44" s="725" t="str">
        <f>INDEX(PT_DIFFERENTIATION_NUM_TER,MATCH(B44,PT_DIFFERENTIATION_TER_ID,0))</f>
        <v>.</v>
      </c>
      <c r="T44" s="178" t="s">
        <v>471</v>
      </c>
      <c r="U44" s="170"/>
      <c r="V44" s="1281"/>
      <c r="W44" s="1282"/>
      <c r="X44" s="1282"/>
      <c r="Y44" s="1282"/>
      <c r="Z44" s="1282"/>
      <c r="AA44" s="1282"/>
      <c r="AB44" s="1282"/>
      <c r="AC44" s="1283"/>
      <c r="AD44" s="1281" t="str">
        <f>INDEX(PT_DIFFERENTIATION_TER,MATCH(B44,PT_DIFFERENTIATION_TER_ID,0))</f>
        <v/>
      </c>
      <c r="AE44" s="1282"/>
      <c r="AF44" s="1282"/>
      <c r="AG44" s="1282"/>
      <c r="AH44" s="1282"/>
      <c r="AI44" s="1282"/>
      <c r="AJ44" s="1282"/>
      <c r="AK44" s="1282"/>
      <c r="AL44" s="1283"/>
      <c r="AM44" s="753" t="s">
        <v>472</v>
      </c>
      <c r="AO44" s="66"/>
      <c r="AP44" s="66" t="str">
        <f t="shared" si="1"/>
        <v>Территория действия тарифа</v>
      </c>
      <c r="AQ44" s="66"/>
      <c r="AR44" s="66"/>
    </row>
    <row r="45" spans="1:44" ht="23.25" customHeight="1">
      <c r="A45" s="793" t="s">
        <v>208</v>
      </c>
      <c r="B45" s="793" t="s">
        <v>209</v>
      </c>
      <c r="C45" s="793" t="s">
        <v>210</v>
      </c>
      <c r="D45" s="793"/>
      <c r="E45" s="1288"/>
      <c r="F45" s="1288"/>
      <c r="G45" s="1287">
        <v>1</v>
      </c>
      <c r="H45" s="793"/>
      <c r="I45" s="793"/>
      <c r="J45" s="793"/>
      <c r="K45" s="793"/>
      <c r="L45" s="794"/>
      <c r="M45" s="433"/>
      <c r="N45" s="433"/>
      <c r="O45" s="433"/>
      <c r="P45" s="212"/>
      <c r="Q45" s="210"/>
      <c r="R45" s="211"/>
      <c r="S45" s="725" t="str">
        <f>INDEX(PT_DIFFERENTIATION_NUM_CS,MATCH(C45,PT_DIFFERENTIATION_CS_ID,0))</f>
        <v>..</v>
      </c>
      <c r="T45" s="179" t="s">
        <v>473</v>
      </c>
      <c r="U45" s="170"/>
      <c r="V45" s="1281"/>
      <c r="W45" s="1282"/>
      <c r="X45" s="1282"/>
      <c r="Y45" s="1282"/>
      <c r="Z45" s="1282"/>
      <c r="AA45" s="1282"/>
      <c r="AB45" s="1282"/>
      <c r="AC45" s="1283"/>
      <c r="AD45" s="1281" t="str">
        <f>INDEX(PT_DIFFERENTIATION_CS,MATCH(C45,PT_DIFFERENTIATION_CS_ID,0))</f>
        <v/>
      </c>
      <c r="AE45" s="1282"/>
      <c r="AF45" s="1282"/>
      <c r="AG45" s="1282"/>
      <c r="AH45" s="1282"/>
      <c r="AI45" s="1282"/>
      <c r="AJ45" s="1282"/>
      <c r="AK45" s="1282"/>
      <c r="AL45" s="1283"/>
      <c r="AM45" s="753" t="s">
        <v>474</v>
      </c>
      <c r="AO45" s="66"/>
      <c r="AP45" s="66" t="str">
        <f t="shared" si="1"/>
        <v xml:space="preserve">Наименование системы теплоснабжения </v>
      </c>
      <c r="AQ45" s="66"/>
      <c r="AR45" s="66"/>
    </row>
    <row r="46" spans="1:44" ht="21" customHeight="1">
      <c r="A46" s="793" t="s">
        <v>208</v>
      </c>
      <c r="B46" s="793" t="s">
        <v>209</v>
      </c>
      <c r="C46" s="793" t="s">
        <v>210</v>
      </c>
      <c r="D46" s="793" t="s">
        <v>211</v>
      </c>
      <c r="E46" s="1288"/>
      <c r="F46" s="1288"/>
      <c r="G46" s="1288"/>
      <c r="H46" s="1287">
        <v>1</v>
      </c>
      <c r="I46" s="793"/>
      <c r="J46" s="793"/>
      <c r="K46" s="793"/>
      <c r="L46" s="794"/>
      <c r="M46" s="433"/>
      <c r="N46" s="433"/>
      <c r="O46" s="433"/>
      <c r="P46" s="212"/>
      <c r="Q46" s="210"/>
      <c r="R46" s="211"/>
      <c r="S46" s="725" t="str">
        <f>INDEX(PT_DIFFERENTIATION_NUM_IST_TE,MATCH(D46,PT_DIFFERENTIATION_IST_TE_ID,0))</f>
        <v>...</v>
      </c>
      <c r="T46" s="180" t="s">
        <v>475</v>
      </c>
      <c r="U46" s="170"/>
      <c r="V46" s="1281"/>
      <c r="W46" s="1282"/>
      <c r="X46" s="1282"/>
      <c r="Y46" s="1282"/>
      <c r="Z46" s="1282"/>
      <c r="AA46" s="1282"/>
      <c r="AB46" s="1282"/>
      <c r="AC46" s="1283"/>
      <c r="AD46" s="1281" t="str">
        <f>INDEX(PT_DIFFERENTIATION_IST_TE,MATCH(D46,PT_DIFFERENTIATION_IST_TE_ID,0))</f>
        <v/>
      </c>
      <c r="AE46" s="1282"/>
      <c r="AF46" s="1282"/>
      <c r="AG46" s="1282"/>
      <c r="AH46" s="1282"/>
      <c r="AI46" s="1282"/>
      <c r="AJ46" s="1282"/>
      <c r="AK46" s="1282"/>
      <c r="AL46" s="1283"/>
      <c r="AM46" s="753" t="s">
        <v>476</v>
      </c>
      <c r="AO46" s="66"/>
      <c r="AP46" s="66" t="str">
        <f t="shared" si="1"/>
        <v xml:space="preserve">Источник тепловой энергии  </v>
      </c>
      <c r="AQ46" s="66"/>
      <c r="AR46" s="66"/>
    </row>
    <row r="47" spans="1:44" ht="47.25" customHeight="1">
      <c r="A47" s="793" t="s">
        <v>208</v>
      </c>
      <c r="B47" s="793" t="s">
        <v>209</v>
      </c>
      <c r="C47" s="793" t="s">
        <v>210</v>
      </c>
      <c r="D47" s="793" t="s">
        <v>211</v>
      </c>
      <c r="E47" s="1288"/>
      <c r="F47" s="1288"/>
      <c r="G47" s="1288"/>
      <c r="H47" s="1288"/>
      <c r="I47" s="1289" t="str">
        <f>S46&amp;".1"</f>
        <v>....1</v>
      </c>
      <c r="J47" s="793"/>
      <c r="K47" s="793"/>
      <c r="L47" s="794" t="s">
        <v>477</v>
      </c>
      <c r="P47" s="1211">
        <v>1</v>
      </c>
      <c r="Q47" s="119"/>
      <c r="R47" s="214"/>
      <c r="S47" s="725" t="str">
        <f>$I47</f>
        <v>....1</v>
      </c>
      <c r="T47" s="163" t="s">
        <v>478</v>
      </c>
      <c r="U47" s="170"/>
      <c r="V47" s="1275"/>
      <c r="W47" s="1276"/>
      <c r="X47" s="1276"/>
      <c r="Y47" s="1276"/>
      <c r="Z47" s="1276"/>
      <c r="AA47" s="1276"/>
      <c r="AB47" s="1276"/>
      <c r="AC47" s="1277"/>
      <c r="AD47" s="1275"/>
      <c r="AE47" s="1276"/>
      <c r="AF47" s="1276"/>
      <c r="AG47" s="1276"/>
      <c r="AH47" s="1276"/>
      <c r="AI47" s="1276"/>
      <c r="AJ47" s="1276"/>
      <c r="AK47" s="1276"/>
      <c r="AL47" s="1277"/>
      <c r="AM47" s="753" t="s">
        <v>479</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3" t="s">
        <v>208</v>
      </c>
      <c r="B48" s="793" t="s">
        <v>209</v>
      </c>
      <c r="C48" s="793" t="s">
        <v>210</v>
      </c>
      <c r="D48" s="793" t="s">
        <v>211</v>
      </c>
      <c r="E48" s="1288"/>
      <c r="F48" s="1288"/>
      <c r="G48" s="1288"/>
      <c r="H48" s="1288"/>
      <c r="I48" s="1290"/>
      <c r="J48" s="1289" t="str">
        <f>I47&amp;".1"</f>
        <v>....1.1</v>
      </c>
      <c r="K48" s="793"/>
      <c r="L48" s="794" t="s">
        <v>480</v>
      </c>
      <c r="P48" s="1211"/>
      <c r="Q48" s="1211">
        <v>1</v>
      </c>
      <c r="R48" s="215"/>
      <c r="S48" s="725" t="str">
        <f>$J48</f>
        <v>....1.1</v>
      </c>
      <c r="T48" s="164" t="s">
        <v>481</v>
      </c>
      <c r="U48" s="170"/>
      <c r="V48" s="1275"/>
      <c r="W48" s="1276"/>
      <c r="X48" s="1276"/>
      <c r="Y48" s="1276"/>
      <c r="Z48" s="1276"/>
      <c r="AA48" s="1276"/>
      <c r="AB48" s="1276"/>
      <c r="AC48" s="1277"/>
      <c r="AD48" s="1275"/>
      <c r="AE48" s="1276"/>
      <c r="AF48" s="1276"/>
      <c r="AG48" s="1276"/>
      <c r="AH48" s="1276"/>
      <c r="AI48" s="1276"/>
      <c r="AJ48" s="1276"/>
      <c r="AK48" s="1276"/>
      <c r="AL48" s="1277"/>
      <c r="AM48" s="753" t="s">
        <v>482</v>
      </c>
      <c r="AO48" s="66"/>
      <c r="AP48" s="66" t="str">
        <f t="shared" si="1"/>
        <v>Группа потребителей</v>
      </c>
      <c r="AQ48" s="66"/>
      <c r="AR48" s="66"/>
    </row>
    <row r="49" spans="1:44" ht="21" customHeight="1">
      <c r="A49" s="793" t="s">
        <v>208</v>
      </c>
      <c r="B49" s="793" t="s">
        <v>209</v>
      </c>
      <c r="C49" s="793" t="s">
        <v>210</v>
      </c>
      <c r="D49" s="793" t="s">
        <v>211</v>
      </c>
      <c r="E49" s="1288"/>
      <c r="F49" s="1288"/>
      <c r="G49" s="1288"/>
      <c r="H49" s="1288"/>
      <c r="I49" s="1290"/>
      <c r="J49" s="1290"/>
      <c r="K49" s="1289" t="str">
        <f>J48&amp;".1"</f>
        <v>....1.1.1</v>
      </c>
      <c r="L49" s="794" t="s">
        <v>483</v>
      </c>
      <c r="P49" s="1211"/>
      <c r="Q49" s="1211"/>
      <c r="R49" s="215">
        <v>1</v>
      </c>
      <c r="S49" s="725" t="str">
        <f>$K49</f>
        <v>....1.1.1</v>
      </c>
      <c r="T49" s="789"/>
      <c r="U49" s="170"/>
      <c r="V49" s="196"/>
      <c r="W49" s="317"/>
      <c r="X49" s="196"/>
      <c r="Y49" s="231"/>
      <c r="Z49" s="1291"/>
      <c r="AA49" s="1092" t="s">
        <v>59</v>
      </c>
      <c r="AB49" s="1291"/>
      <c r="AC49" s="1092" t="s">
        <v>59</v>
      </c>
      <c r="AD49" s="196"/>
      <c r="AE49" s="317"/>
      <c r="AF49" s="196"/>
      <c r="AG49" s="231"/>
      <c r="AH49" s="1291"/>
      <c r="AI49" s="1092" t="s">
        <v>59</v>
      </c>
      <c r="AJ49" s="1293"/>
      <c r="AK49" s="1092" t="s">
        <v>59</v>
      </c>
      <c r="AL49" s="790"/>
      <c r="AM49" s="1309" t="s">
        <v>484</v>
      </c>
      <c r="AN49" s="65" t="e">
        <f ca="1">STRCHECKDATE(V50:AL50)</f>
        <v>#NAME?</v>
      </c>
      <c r="AO49" s="66"/>
      <c r="AP49" s="66" t="str">
        <f t="shared" si="1"/>
        <v/>
      </c>
      <c r="AQ49" s="66"/>
      <c r="AR49" s="66"/>
    </row>
    <row r="50" spans="1:44" ht="0.75" customHeight="1">
      <c r="A50" s="793" t="s">
        <v>208</v>
      </c>
      <c r="B50" s="793" t="s">
        <v>209</v>
      </c>
      <c r="C50" s="793" t="s">
        <v>210</v>
      </c>
      <c r="D50" s="793" t="s">
        <v>211</v>
      </c>
      <c r="E50" s="1288"/>
      <c r="F50" s="1288"/>
      <c r="G50" s="1288"/>
      <c r="H50" s="1288"/>
      <c r="I50" s="1290"/>
      <c r="J50" s="1290"/>
      <c r="K50" s="1289"/>
      <c r="L50" s="794"/>
      <c r="P50" s="1211"/>
      <c r="Q50" s="1211"/>
      <c r="R50" s="215"/>
      <c r="S50" s="62"/>
      <c r="T50" s="170"/>
      <c r="U50" s="170"/>
      <c r="V50" s="196"/>
      <c r="W50" s="196"/>
      <c r="X50" s="196"/>
      <c r="Y50" s="198" t="str">
        <f>Z49&amp;"-"&amp;AB49</f>
        <v>-</v>
      </c>
      <c r="Z50" s="1292"/>
      <c r="AA50" s="1092"/>
      <c r="AB50" s="1292"/>
      <c r="AC50" s="1092"/>
      <c r="AD50" s="196"/>
      <c r="AE50" s="196"/>
      <c r="AF50" s="196"/>
      <c r="AG50" s="198" t="str">
        <f>AH49&amp;"-"&amp;AJ49</f>
        <v>-</v>
      </c>
      <c r="AH50" s="1292"/>
      <c r="AI50" s="1092"/>
      <c r="AJ50" s="1294"/>
      <c r="AK50" s="1092"/>
      <c r="AL50" s="791"/>
      <c r="AM50" s="1310"/>
      <c r="AO50" s="66"/>
      <c r="AP50" s="66" t="str">
        <f t="shared" si="1"/>
        <v/>
      </c>
      <c r="AQ50" s="66"/>
      <c r="AR50" s="66"/>
    </row>
    <row r="51" spans="1:44" ht="11.25" customHeight="1">
      <c r="A51" s="793" t="s">
        <v>208</v>
      </c>
      <c r="B51" s="793" t="s">
        <v>209</v>
      </c>
      <c r="C51" s="793" t="s">
        <v>210</v>
      </c>
      <c r="D51" s="793" t="s">
        <v>211</v>
      </c>
      <c r="E51" s="1288"/>
      <c r="F51" s="1288"/>
      <c r="G51" s="1288"/>
      <c r="H51" s="1288"/>
      <c r="I51" s="1290"/>
      <c r="J51" s="1289"/>
      <c r="K51" s="793"/>
      <c r="L51" s="794"/>
      <c r="P51" s="1211"/>
      <c r="Q51" s="1211"/>
      <c r="R51" s="214"/>
      <c r="S51" s="767"/>
      <c r="T51" s="166" t="s">
        <v>485</v>
      </c>
      <c r="U51" s="221"/>
      <c r="V51" s="221"/>
      <c r="W51" s="221"/>
      <c r="X51" s="221"/>
      <c r="Y51" s="221"/>
      <c r="Z51" s="221"/>
      <c r="AA51" s="221"/>
      <c r="AB51" s="221"/>
      <c r="AC51" s="221"/>
      <c r="AD51" s="221"/>
      <c r="AE51" s="221"/>
      <c r="AF51" s="221"/>
      <c r="AG51" s="221"/>
      <c r="AH51" s="221"/>
      <c r="AI51" s="221"/>
      <c r="AJ51" s="221"/>
      <c r="AK51" s="221"/>
      <c r="AL51" s="195"/>
      <c r="AM51" s="1311"/>
      <c r="AO51" s="66"/>
      <c r="AP51" s="66" t="str">
        <f t="shared" si="1"/>
        <v>Добавить вид теплоносителя (параметры теплоносителя)</v>
      </c>
      <c r="AQ51" s="66"/>
      <c r="AR51" s="66"/>
    </row>
    <row r="52" spans="1:44" ht="11.25" customHeight="1">
      <c r="A52" s="793" t="s">
        <v>208</v>
      </c>
      <c r="B52" s="793" t="s">
        <v>209</v>
      </c>
      <c r="C52" s="793" t="s">
        <v>210</v>
      </c>
      <c r="D52" s="793" t="s">
        <v>211</v>
      </c>
      <c r="E52" s="1288"/>
      <c r="F52" s="1288"/>
      <c r="G52" s="1288"/>
      <c r="H52" s="1288"/>
      <c r="I52" s="1289"/>
      <c r="J52" s="793"/>
      <c r="K52" s="793"/>
      <c r="L52" s="794"/>
      <c r="P52" s="1211"/>
      <c r="Q52" s="119"/>
      <c r="R52" s="214"/>
      <c r="S52" s="767"/>
      <c r="T52" s="165" t="s">
        <v>486</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3" t="s">
        <v>208</v>
      </c>
      <c r="B53" s="793" t="s">
        <v>209</v>
      </c>
      <c r="C53" s="793" t="s">
        <v>210</v>
      </c>
      <c r="D53" s="793" t="s">
        <v>211</v>
      </c>
      <c r="E53" s="1288"/>
      <c r="F53" s="1288"/>
      <c r="G53" s="1288"/>
      <c r="H53" s="1287"/>
      <c r="I53" s="793"/>
      <c r="J53" s="793"/>
      <c r="K53" s="793"/>
      <c r="L53" s="794"/>
      <c r="M53" s="433"/>
      <c r="N53" s="433"/>
      <c r="O53" s="60"/>
      <c r="P53" s="2"/>
      <c r="Q53" s="224"/>
      <c r="R53" s="213"/>
      <c r="S53" s="767"/>
      <c r="T53" s="219" t="s">
        <v>487</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208</v>
      </c>
      <c r="B54" s="142" t="s">
        <v>209</v>
      </c>
      <c r="C54" s="142" t="s">
        <v>210</v>
      </c>
      <c r="D54" s="142"/>
      <c r="E54" s="1288"/>
      <c r="F54" s="1288"/>
      <c r="G54" s="1287"/>
      <c r="H54" s="142"/>
      <c r="I54" s="142"/>
      <c r="J54" s="142"/>
      <c r="K54" s="142"/>
      <c r="L54" s="355"/>
      <c r="M54" s="304"/>
      <c r="N54" s="304"/>
      <c r="P54" s="101"/>
      <c r="Q54" s="780"/>
      <c r="R54" s="101"/>
      <c r="S54" s="785"/>
      <c r="T54" s="787" t="s">
        <v>444</v>
      </c>
      <c r="U54" s="323"/>
      <c r="V54" s="323"/>
      <c r="W54" s="323"/>
      <c r="X54" s="323"/>
      <c r="Y54" s="323"/>
      <c r="Z54" s="323"/>
      <c r="AA54" s="323"/>
      <c r="AB54" s="323"/>
      <c r="AC54" s="323"/>
      <c r="AD54" s="323"/>
      <c r="AE54" s="323"/>
      <c r="AF54" s="323"/>
      <c r="AG54" s="323"/>
      <c r="AH54" s="323"/>
      <c r="AI54" s="323"/>
      <c r="AJ54" s="323"/>
      <c r="AK54" s="323"/>
      <c r="AL54" s="323"/>
      <c r="AM54" s="323"/>
      <c r="AO54" s="66"/>
      <c r="AP54" s="66" t="str">
        <f t="shared" si="1"/>
        <v>Добавить источник для дифференциации</v>
      </c>
      <c r="AQ54" s="66"/>
      <c r="AR54" s="66"/>
    </row>
    <row r="55" spans="1:44" s="65" customFormat="1" ht="0.75" customHeight="1">
      <c r="A55" s="142" t="s">
        <v>208</v>
      </c>
      <c r="B55" s="142" t="s">
        <v>209</v>
      </c>
      <c r="C55" s="142"/>
      <c r="D55" s="142"/>
      <c r="E55" s="1288"/>
      <c r="F55" s="1287"/>
      <c r="G55" s="142"/>
      <c r="H55" s="142"/>
      <c r="I55" s="142"/>
      <c r="J55" s="142"/>
      <c r="K55" s="142"/>
      <c r="L55" s="355"/>
      <c r="M55" s="784"/>
      <c r="N55" s="784"/>
      <c r="P55" s="101"/>
      <c r="Q55" s="780"/>
      <c r="R55" s="101"/>
      <c r="S55" s="785"/>
      <c r="T55" s="787" t="s">
        <v>445</v>
      </c>
      <c r="U55" s="323"/>
      <c r="V55" s="323"/>
      <c r="W55" s="323"/>
      <c r="X55" s="323"/>
      <c r="Y55" s="323"/>
      <c r="Z55" s="323"/>
      <c r="AA55" s="323"/>
      <c r="AB55" s="323"/>
      <c r="AC55" s="323"/>
      <c r="AD55" s="323"/>
      <c r="AE55" s="323"/>
      <c r="AF55" s="323"/>
      <c r="AG55" s="323"/>
      <c r="AH55" s="323"/>
      <c r="AI55" s="323"/>
      <c r="AJ55" s="323"/>
      <c r="AK55" s="323"/>
      <c r="AL55" s="323"/>
      <c r="AM55" s="323"/>
      <c r="AO55" s="66"/>
      <c r="AP55" s="66" t="str">
        <f t="shared" si="1"/>
        <v>Добавить централизованную систему для дифференциации</v>
      </c>
      <c r="AQ55" s="66"/>
      <c r="AR55" s="66"/>
    </row>
    <row r="56" spans="1:44" s="65" customFormat="1" ht="0.75" customHeight="1">
      <c r="A56" s="142" t="s">
        <v>208</v>
      </c>
      <c r="B56" s="142"/>
      <c r="C56" s="142"/>
      <c r="D56" s="142"/>
      <c r="E56" s="1287"/>
      <c r="F56" s="142"/>
      <c r="G56" s="142"/>
      <c r="H56" s="142"/>
      <c r="I56" s="142"/>
      <c r="J56" s="142"/>
      <c r="K56" s="142"/>
      <c r="L56" s="355"/>
      <c r="M56" s="784"/>
      <c r="N56" s="784"/>
      <c r="P56" s="101"/>
      <c r="Q56" s="780"/>
      <c r="R56" s="101"/>
      <c r="S56" s="785"/>
      <c r="T56" s="787" t="s">
        <v>446</v>
      </c>
      <c r="U56" s="323"/>
      <c r="V56" s="323"/>
      <c r="W56" s="323"/>
      <c r="X56" s="323"/>
      <c r="Y56" s="323"/>
      <c r="Z56" s="323"/>
      <c r="AA56" s="323"/>
      <c r="AB56" s="323"/>
      <c r="AC56" s="323"/>
      <c r="AD56" s="323"/>
      <c r="AE56" s="323"/>
      <c r="AF56" s="323"/>
      <c r="AG56" s="323"/>
      <c r="AH56" s="323"/>
      <c r="AI56" s="323"/>
      <c r="AJ56" s="323"/>
      <c r="AK56" s="323"/>
      <c r="AL56" s="323"/>
      <c r="AM56" s="323"/>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4"/>
      <c r="N57" s="784"/>
      <c r="P57" s="101"/>
      <c r="Q57" s="780"/>
      <c r="R57" s="101"/>
      <c r="S57" s="785"/>
      <c r="T57" s="787" t="s">
        <v>447</v>
      </c>
      <c r="U57" s="323"/>
      <c r="V57" s="323"/>
      <c r="W57" s="323"/>
      <c r="X57" s="323"/>
      <c r="Y57" s="323"/>
      <c r="Z57" s="323"/>
      <c r="AA57" s="323"/>
      <c r="AB57" s="323"/>
      <c r="AC57" s="323"/>
      <c r="AD57" s="323"/>
      <c r="AE57" s="323"/>
      <c r="AF57" s="323"/>
      <c r="AG57" s="323"/>
      <c r="AH57" s="323"/>
      <c r="AI57" s="323"/>
      <c r="AJ57" s="323"/>
      <c r="AK57" s="323"/>
      <c r="AL57" s="323"/>
      <c r="AM57" s="323"/>
      <c r="AO57" s="66"/>
      <c r="AP57" s="66" t="str">
        <f t="shared" si="1"/>
        <v>Добавить наименование тарифа</v>
      </c>
      <c r="AQ57" s="66"/>
      <c r="AR57" s="66"/>
    </row>
    <row r="58" spans="1:44" ht="11.25" hidden="1" customHeight="1">
      <c r="M58" s="60"/>
      <c r="N58" s="60"/>
      <c r="O58" s="60"/>
      <c r="P58" s="9"/>
      <c r="Q58" s="9"/>
      <c r="R58" s="9"/>
      <c r="S58" s="9"/>
      <c r="AN58" s="9"/>
      <c r="AO58" s="9"/>
      <c r="AP58" s="9"/>
      <c r="AQ58" s="9"/>
      <c r="AR58" s="9"/>
    </row>
    <row r="59" spans="1:44" ht="27" hidden="1" customHeight="1">
      <c r="O59" s="60"/>
      <c r="S59" s="204" t="s">
        <v>519</v>
      </c>
      <c r="T59" s="1286" t="s">
        <v>526</v>
      </c>
      <c r="U59" s="1286"/>
      <c r="V59" s="1286"/>
      <c r="W59" s="1286"/>
      <c r="X59" s="1286"/>
      <c r="Y59" s="1286"/>
      <c r="Z59" s="1286"/>
      <c r="AA59" s="1286"/>
      <c r="AB59" s="1286"/>
      <c r="AC59" s="1286"/>
      <c r="AD59" s="1286"/>
      <c r="AE59" s="1286"/>
      <c r="AF59" s="1286"/>
      <c r="AG59" s="1286"/>
      <c r="AH59" s="1286"/>
      <c r="AI59" s="1286"/>
      <c r="AJ59" s="1286"/>
      <c r="AK59" s="1286"/>
      <c r="AL59" s="1286"/>
      <c r="AM59" s="1286"/>
    </row>
    <row r="60" spans="1:44" ht="75" hidden="1" customHeight="1">
      <c r="O60" s="60"/>
      <c r="T60" s="1286" t="s">
        <v>521</v>
      </c>
      <c r="U60" s="1286"/>
      <c r="V60" s="1286"/>
      <c r="W60" s="1286"/>
      <c r="X60" s="1286"/>
      <c r="Y60" s="1286"/>
      <c r="Z60" s="1286"/>
      <c r="AA60" s="1286"/>
      <c r="AB60" s="1286"/>
      <c r="AC60" s="1286"/>
      <c r="AD60" s="1286"/>
      <c r="AE60" s="1286"/>
      <c r="AF60" s="1286"/>
      <c r="AG60" s="1286"/>
      <c r="AH60" s="1286"/>
      <c r="AI60" s="1286"/>
      <c r="AJ60" s="1286"/>
      <c r="AK60" s="1286"/>
      <c r="AL60" s="1286"/>
      <c r="AM60" s="1286"/>
    </row>
    <row r="61" spans="1:44" ht="14.25" hidden="1" customHeight="1">
      <c r="O61" s="60"/>
    </row>
    <row r="62" spans="1:44" ht="18" hidden="1" customHeight="1">
      <c r="O62" s="60"/>
      <c r="S62" s="204" t="s">
        <v>519</v>
      </c>
      <c r="T62" s="1286" t="s">
        <v>522</v>
      </c>
      <c r="U62" s="1286"/>
      <c r="V62" s="1286"/>
      <c r="W62" s="1286"/>
      <c r="X62" s="1286"/>
      <c r="Y62" s="1286"/>
      <c r="Z62" s="1286"/>
      <c r="AA62" s="1286"/>
      <c r="AB62" s="1286"/>
      <c r="AC62" s="1286"/>
      <c r="AD62" s="1286"/>
      <c r="AE62" s="1286"/>
      <c r="AF62" s="1286"/>
      <c r="AG62" s="1286"/>
      <c r="AH62" s="1286"/>
      <c r="AI62" s="1286"/>
      <c r="AJ62" s="1286"/>
      <c r="AK62" s="1286"/>
      <c r="AL62" s="1286"/>
      <c r="AM62" s="1286"/>
    </row>
    <row r="63" spans="1:44" ht="18" hidden="1" customHeight="1">
      <c r="O63" s="60"/>
      <c r="T63" s="1286" t="s">
        <v>523</v>
      </c>
      <c r="U63" s="1286"/>
      <c r="V63" s="1286"/>
      <c r="W63" s="1286"/>
      <c r="X63" s="1286"/>
      <c r="Y63" s="1286"/>
      <c r="Z63" s="1286"/>
      <c r="AA63" s="1286"/>
      <c r="AB63" s="1286"/>
      <c r="AC63" s="1286"/>
      <c r="AD63" s="1286"/>
      <c r="AE63" s="1286"/>
      <c r="AF63" s="1286"/>
      <c r="AG63" s="1286"/>
      <c r="AH63" s="1286"/>
      <c r="AI63" s="1286"/>
      <c r="AJ63" s="1286"/>
      <c r="AK63" s="1286"/>
      <c r="AL63" s="1286"/>
      <c r="AM63" s="1286"/>
    </row>
    <row r="64" spans="1:44" ht="38.25" hidden="1" customHeight="1">
      <c r="O64" s="60"/>
      <c r="S64" s="204"/>
      <c r="T64" s="1286" t="s">
        <v>524</v>
      </c>
      <c r="U64" s="1286"/>
      <c r="V64" s="1286"/>
      <c r="W64" s="1286"/>
      <c r="X64" s="1286"/>
      <c r="Y64" s="1286"/>
      <c r="Z64" s="1286"/>
      <c r="AA64" s="1286"/>
      <c r="AB64" s="1286"/>
      <c r="AC64" s="1286"/>
      <c r="AD64" s="1286"/>
      <c r="AE64" s="1286"/>
      <c r="AF64" s="1286"/>
      <c r="AG64" s="1286"/>
      <c r="AH64" s="1286"/>
      <c r="AI64" s="1286"/>
      <c r="AJ64" s="1286"/>
      <c r="AK64" s="1286"/>
      <c r="AL64" s="1286"/>
      <c r="AM64" s="1286"/>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443CE-A0A4-9EDD-DDD2-1353C44B2436}">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19" hidden="1" customWidth="1"/>
    <col min="15" max="15" width="23.42578125" style="519"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3"/>
      <c r="B2" s="793"/>
      <c r="C2" s="793"/>
      <c r="D2" s="793"/>
      <c r="E2" s="1287">
        <v>1</v>
      </c>
      <c r="F2" s="793"/>
      <c r="G2" s="793"/>
      <c r="H2" s="793"/>
      <c r="I2" s="793"/>
      <c r="J2" s="793"/>
      <c r="K2" s="793"/>
      <c r="L2" s="794"/>
      <c r="M2" s="433"/>
      <c r="N2" s="433"/>
      <c r="O2" s="433"/>
      <c r="Q2" s="2"/>
      <c r="R2" s="213"/>
      <c r="S2" s="725" t="e">
        <f>INDEX(PT_DIFFERENTIATION_NUM_NTAR,MATCH(A2,PT_DIFFERENTIATION_NTAR_ID,0))</f>
        <v>#N/A</v>
      </c>
      <c r="T2" s="64" t="s">
        <v>139</v>
      </c>
      <c r="U2" s="170"/>
      <c r="V2" s="1281"/>
      <c r="W2" s="1282"/>
      <c r="X2" s="1282"/>
      <c r="Y2" s="1282"/>
      <c r="Z2" s="1282"/>
      <c r="AA2" s="1282"/>
      <c r="AB2" s="1282"/>
      <c r="AC2" s="1283"/>
      <c r="AD2" s="1281" t="e">
        <f>INDEX(PT_DIFFERENTIATION_NTAR,MATCH(A2,PT_DIFFERENTIATION_NTAR_ID,0))</f>
        <v>#N/A</v>
      </c>
      <c r="AE2" s="1282"/>
      <c r="AF2" s="1282"/>
      <c r="AG2" s="1282"/>
      <c r="AH2" s="1282"/>
      <c r="AI2" s="1282"/>
      <c r="AJ2" s="1282"/>
      <c r="AK2" s="1282"/>
      <c r="AL2" s="1283"/>
      <c r="AM2" s="753" t="s">
        <v>470</v>
      </c>
      <c r="AO2" s="66"/>
      <c r="AP2" s="66" t="str">
        <f t="shared" ref="AP2:AP15" si="0">IF(T2="","",T2)</f>
        <v>Наименование тарифа</v>
      </c>
      <c r="AQ2" s="66"/>
      <c r="AR2" s="66"/>
    </row>
    <row r="3" spans="1:44" ht="21" hidden="1" customHeight="1">
      <c r="A3" s="793"/>
      <c r="B3" s="793"/>
      <c r="C3" s="793"/>
      <c r="D3" s="793"/>
      <c r="E3" s="1288"/>
      <c r="F3" s="1287">
        <v>1</v>
      </c>
      <c r="G3" s="793"/>
      <c r="H3" s="793"/>
      <c r="I3" s="793"/>
      <c r="J3" s="793"/>
      <c r="K3" s="793"/>
      <c r="L3" s="794"/>
      <c r="M3" s="433"/>
      <c r="N3" s="433"/>
      <c r="O3" s="433"/>
      <c r="P3" s="56"/>
      <c r="Q3" s="210"/>
      <c r="R3" s="211"/>
      <c r="S3" s="725" t="e">
        <f>INDEX(PT_DIFFERENTIATION_NUM_TER,MATCH(B3,PT_DIFFERENTIATION_TER_ID,0))</f>
        <v>#N/A</v>
      </c>
      <c r="T3" s="178" t="s">
        <v>471</v>
      </c>
      <c r="U3" s="170"/>
      <c r="V3" s="1281"/>
      <c r="W3" s="1282"/>
      <c r="X3" s="1282"/>
      <c r="Y3" s="1282"/>
      <c r="Z3" s="1282"/>
      <c r="AA3" s="1282"/>
      <c r="AB3" s="1282"/>
      <c r="AC3" s="1283"/>
      <c r="AD3" s="1281" t="e">
        <f>INDEX(PT_DIFFERENTIATION_TER,MATCH(B3,PT_DIFFERENTIATION_TER_ID,0))</f>
        <v>#N/A</v>
      </c>
      <c r="AE3" s="1282"/>
      <c r="AF3" s="1282"/>
      <c r="AG3" s="1282"/>
      <c r="AH3" s="1282"/>
      <c r="AI3" s="1282"/>
      <c r="AJ3" s="1282"/>
      <c r="AK3" s="1282"/>
      <c r="AL3" s="1283"/>
      <c r="AM3" s="753" t="s">
        <v>472</v>
      </c>
      <c r="AO3" s="66"/>
      <c r="AP3" s="66" t="str">
        <f t="shared" si="0"/>
        <v>Территория действия тарифа</v>
      </c>
      <c r="AQ3" s="66"/>
      <c r="AR3" s="66"/>
    </row>
    <row r="4" spans="1:44" ht="23.25" hidden="1" customHeight="1">
      <c r="A4" s="793"/>
      <c r="B4" s="793"/>
      <c r="C4" s="793"/>
      <c r="D4" s="793"/>
      <c r="E4" s="1288"/>
      <c r="F4" s="1288"/>
      <c r="G4" s="1287">
        <v>1</v>
      </c>
      <c r="H4" s="793"/>
      <c r="I4" s="793"/>
      <c r="J4" s="793"/>
      <c r="K4" s="793"/>
      <c r="L4" s="794"/>
      <c r="M4" s="433"/>
      <c r="N4" s="433"/>
      <c r="O4" s="433"/>
      <c r="P4" s="212"/>
      <c r="Q4" s="210"/>
      <c r="R4" s="211"/>
      <c r="S4" s="725" t="e">
        <f>INDEX(PT_DIFFERENTIATION_NUM_CS,MATCH(C4,PT_DIFFERENTIATION_CS_ID,0))</f>
        <v>#N/A</v>
      </c>
      <c r="T4" s="179" t="s">
        <v>473</v>
      </c>
      <c r="U4" s="170"/>
      <c r="V4" s="1281"/>
      <c r="W4" s="1282"/>
      <c r="X4" s="1282"/>
      <c r="Y4" s="1282"/>
      <c r="Z4" s="1282"/>
      <c r="AA4" s="1282"/>
      <c r="AB4" s="1282"/>
      <c r="AC4" s="1283"/>
      <c r="AD4" s="1281" t="e">
        <f>INDEX(PT_DIFFERENTIATION_CS,MATCH(C4,PT_DIFFERENTIATION_CS_ID,0))</f>
        <v>#N/A</v>
      </c>
      <c r="AE4" s="1282"/>
      <c r="AF4" s="1282"/>
      <c r="AG4" s="1282"/>
      <c r="AH4" s="1282"/>
      <c r="AI4" s="1282"/>
      <c r="AJ4" s="1282"/>
      <c r="AK4" s="1282"/>
      <c r="AL4" s="1283"/>
      <c r="AM4" s="753" t="s">
        <v>474</v>
      </c>
      <c r="AO4" s="66"/>
      <c r="AP4" s="66" t="str">
        <f t="shared" si="0"/>
        <v xml:space="preserve">Наименование системы теплоснабжения </v>
      </c>
      <c r="AQ4" s="66"/>
      <c r="AR4" s="66"/>
    </row>
    <row r="5" spans="1:44" ht="21" hidden="1" customHeight="1">
      <c r="A5" s="793"/>
      <c r="B5" s="793"/>
      <c r="C5" s="793"/>
      <c r="D5" s="793"/>
      <c r="E5" s="1288"/>
      <c r="F5" s="1288"/>
      <c r="G5" s="1288"/>
      <c r="H5" s="1287">
        <v>1</v>
      </c>
      <c r="I5" s="793"/>
      <c r="J5" s="793"/>
      <c r="K5" s="793"/>
      <c r="L5" s="794"/>
      <c r="M5" s="433"/>
      <c r="N5" s="433"/>
      <c r="O5" s="433"/>
      <c r="P5" s="212"/>
      <c r="Q5" s="210"/>
      <c r="R5" s="211"/>
      <c r="S5" s="725" t="e">
        <f>INDEX(PT_DIFFERENTIATION_NUM_IST_TE,MATCH(D5,PT_DIFFERENTIATION_IST_TE_ID,0))</f>
        <v>#N/A</v>
      </c>
      <c r="T5" s="180" t="s">
        <v>475</v>
      </c>
      <c r="U5" s="170"/>
      <c r="V5" s="1281"/>
      <c r="W5" s="1282"/>
      <c r="X5" s="1282"/>
      <c r="Y5" s="1282"/>
      <c r="Z5" s="1282"/>
      <c r="AA5" s="1282"/>
      <c r="AB5" s="1282"/>
      <c r="AC5" s="1283"/>
      <c r="AD5" s="1281" t="e">
        <f>INDEX(PT_DIFFERENTIATION_IST_TE,MATCH(D5,PT_DIFFERENTIATION_IST_TE_ID,0))</f>
        <v>#N/A</v>
      </c>
      <c r="AE5" s="1282"/>
      <c r="AF5" s="1282"/>
      <c r="AG5" s="1282"/>
      <c r="AH5" s="1282"/>
      <c r="AI5" s="1282"/>
      <c r="AJ5" s="1282"/>
      <c r="AK5" s="1282"/>
      <c r="AL5" s="1283"/>
      <c r="AM5" s="753" t="s">
        <v>476</v>
      </c>
      <c r="AO5" s="66"/>
      <c r="AP5" s="66" t="str">
        <f t="shared" si="0"/>
        <v xml:space="preserve">Источник тепловой энергии  </v>
      </c>
      <c r="AQ5" s="66"/>
      <c r="AR5" s="66"/>
    </row>
    <row r="6" spans="1:44" ht="14.25" hidden="1" customHeight="1">
      <c r="A6" s="793"/>
      <c r="B6" s="793"/>
      <c r="C6" s="793"/>
      <c r="D6" s="793"/>
      <c r="E6" s="1288"/>
      <c r="F6" s="1288"/>
      <c r="G6" s="1288"/>
      <c r="H6" s="1288"/>
      <c r="I6" s="1289" t="e">
        <f>S5&amp;".1"</f>
        <v>#N/A</v>
      </c>
      <c r="J6" s="793"/>
      <c r="K6" s="793"/>
      <c r="L6" s="794" t="s">
        <v>477</v>
      </c>
      <c r="M6" s="60"/>
      <c r="P6" s="1211">
        <v>1</v>
      </c>
      <c r="Q6" s="119"/>
      <c r="R6" s="214"/>
      <c r="S6" s="371"/>
      <c r="T6" s="803"/>
      <c r="U6" s="804"/>
      <c r="V6" s="1316"/>
      <c r="W6" s="1317"/>
      <c r="X6" s="1317"/>
      <c r="Y6" s="1317"/>
      <c r="Z6" s="1317"/>
      <c r="AA6" s="1317"/>
      <c r="AB6" s="1317"/>
      <c r="AC6" s="1318"/>
      <c r="AD6" s="1316"/>
      <c r="AE6" s="1317"/>
      <c r="AF6" s="1317"/>
      <c r="AG6" s="1317"/>
      <c r="AH6" s="1317"/>
      <c r="AI6" s="1317"/>
      <c r="AJ6" s="1317"/>
      <c r="AK6" s="1317"/>
      <c r="AL6" s="1318"/>
      <c r="AM6" s="805"/>
      <c r="AO6" s="66"/>
      <c r="AP6" s="66" t="str">
        <f t="shared" si="0"/>
        <v/>
      </c>
      <c r="AQ6" s="66"/>
      <c r="AR6" s="66"/>
    </row>
    <row r="7" spans="1:44" ht="21" hidden="1" customHeight="1">
      <c r="A7" s="793"/>
      <c r="B7" s="793"/>
      <c r="C7" s="793"/>
      <c r="D7" s="793"/>
      <c r="E7" s="1288"/>
      <c r="F7" s="1288"/>
      <c r="G7" s="1288"/>
      <c r="H7" s="1288"/>
      <c r="I7" s="1290"/>
      <c r="J7" s="1289" t="e">
        <f>I6&amp;".1"</f>
        <v>#N/A</v>
      </c>
      <c r="K7" s="793"/>
      <c r="L7" s="794" t="s">
        <v>480</v>
      </c>
      <c r="M7" s="60"/>
      <c r="N7" s="60"/>
      <c r="P7" s="1211"/>
      <c r="Q7" s="1211">
        <v>1</v>
      </c>
      <c r="R7" s="215"/>
      <c r="S7" s="725" t="e">
        <f>$J7</f>
        <v>#N/A</v>
      </c>
      <c r="T7" s="164" t="s">
        <v>481</v>
      </c>
      <c r="U7" s="170"/>
      <c r="V7" s="1275"/>
      <c r="W7" s="1276"/>
      <c r="X7" s="1276"/>
      <c r="Y7" s="1276"/>
      <c r="Z7" s="1276"/>
      <c r="AA7" s="1276"/>
      <c r="AB7" s="1276"/>
      <c r="AC7" s="1277"/>
      <c r="AD7" s="1275"/>
      <c r="AE7" s="1276"/>
      <c r="AF7" s="1276"/>
      <c r="AG7" s="1276"/>
      <c r="AH7" s="1276"/>
      <c r="AI7" s="1276"/>
      <c r="AJ7" s="1276"/>
      <c r="AK7" s="1276"/>
      <c r="AL7" s="1277"/>
      <c r="AM7" s="753" t="s">
        <v>482</v>
      </c>
      <c r="AO7" s="66"/>
      <c r="AP7" s="66" t="str">
        <f t="shared" si="0"/>
        <v>Группа потребителей</v>
      </c>
      <c r="AQ7" s="66"/>
      <c r="AR7" s="66"/>
    </row>
    <row r="8" spans="1:44" ht="21" hidden="1" customHeight="1">
      <c r="A8" s="793"/>
      <c r="B8" s="793"/>
      <c r="C8" s="793"/>
      <c r="D8" s="793"/>
      <c r="E8" s="1288"/>
      <c r="F8" s="1288"/>
      <c r="G8" s="1288"/>
      <c r="H8" s="1288"/>
      <c r="I8" s="1290"/>
      <c r="J8" s="1290"/>
      <c r="K8" s="1289" t="e">
        <f>J7&amp;".1"</f>
        <v>#N/A</v>
      </c>
      <c r="L8" s="794" t="s">
        <v>483</v>
      </c>
      <c r="M8" s="60"/>
      <c r="N8" s="60"/>
      <c r="O8" s="60"/>
      <c r="P8" s="1211"/>
      <c r="Q8" s="1211"/>
      <c r="R8" s="215">
        <v>1</v>
      </c>
      <c r="S8" s="725" t="e">
        <f>$K8</f>
        <v>#N/A</v>
      </c>
      <c r="T8" s="789"/>
      <c r="U8" s="170"/>
      <c r="V8" s="317"/>
      <c r="W8" s="196"/>
      <c r="X8" s="317"/>
      <c r="Y8" s="752"/>
      <c r="Z8" s="1291"/>
      <c r="AA8" s="1092" t="s">
        <v>59</v>
      </c>
      <c r="AB8" s="1291"/>
      <c r="AC8" s="1092" t="s">
        <v>59</v>
      </c>
      <c r="AD8" s="317"/>
      <c r="AE8" s="196"/>
      <c r="AF8" s="317"/>
      <c r="AG8" s="752"/>
      <c r="AH8" s="1291"/>
      <c r="AI8" s="1092" t="s">
        <v>59</v>
      </c>
      <c r="AJ8" s="1291"/>
      <c r="AK8" s="1092" t="s">
        <v>59</v>
      </c>
      <c r="AL8" s="196"/>
      <c r="AM8" s="1309" t="s">
        <v>484</v>
      </c>
      <c r="AN8" s="65" t="e">
        <f ca="1">STRCHECKDATE(V9:AL9)</f>
        <v>#NAME?</v>
      </c>
      <c r="AO8" s="66"/>
      <c r="AP8" s="66" t="str">
        <f t="shared" si="0"/>
        <v/>
      </c>
      <c r="AQ8" s="66"/>
      <c r="AR8" s="66"/>
    </row>
    <row r="9" spans="1:44" ht="0.75" hidden="1" customHeight="1">
      <c r="A9" s="793"/>
      <c r="B9" s="793"/>
      <c r="C9" s="793"/>
      <c r="D9" s="793"/>
      <c r="E9" s="1288"/>
      <c r="F9" s="1288"/>
      <c r="G9" s="1288"/>
      <c r="H9" s="1288"/>
      <c r="I9" s="1290"/>
      <c r="J9" s="1290"/>
      <c r="K9" s="1289"/>
      <c r="L9" s="794"/>
      <c r="M9" s="60"/>
      <c r="N9" s="60"/>
      <c r="O9" s="60"/>
      <c r="P9" s="1211"/>
      <c r="Q9" s="1211"/>
      <c r="R9" s="215"/>
      <c r="S9" s="62"/>
      <c r="T9" s="170"/>
      <c r="U9" s="170"/>
      <c r="V9" s="196"/>
      <c r="W9" s="196"/>
      <c r="X9" s="196"/>
      <c r="Y9" s="198" t="str">
        <f>Z8&amp;"-"&amp;AB8</f>
        <v>-</v>
      </c>
      <c r="Z9" s="1292"/>
      <c r="AA9" s="1092"/>
      <c r="AB9" s="1292"/>
      <c r="AC9" s="1092"/>
      <c r="AD9" s="196"/>
      <c r="AE9" s="196"/>
      <c r="AF9" s="196"/>
      <c r="AG9" s="198" t="str">
        <f>AH8&amp;"-"&amp;AJ8</f>
        <v>-</v>
      </c>
      <c r="AH9" s="1292"/>
      <c r="AI9" s="1092"/>
      <c r="AJ9" s="1292"/>
      <c r="AK9" s="1092"/>
      <c r="AL9" s="196"/>
      <c r="AM9" s="1310"/>
      <c r="AO9" s="66"/>
      <c r="AP9" s="66" t="str">
        <f t="shared" si="0"/>
        <v/>
      </c>
      <c r="AQ9" s="66"/>
      <c r="AR9" s="66"/>
    </row>
    <row r="10" spans="1:44" ht="15" hidden="1" customHeight="1">
      <c r="A10" s="793"/>
      <c r="B10" s="793"/>
      <c r="C10" s="793"/>
      <c r="D10" s="793"/>
      <c r="E10" s="1288"/>
      <c r="F10" s="1288"/>
      <c r="G10" s="1288"/>
      <c r="H10" s="1288"/>
      <c r="I10" s="1290"/>
      <c r="J10" s="1289"/>
      <c r="K10" s="793"/>
      <c r="L10" s="794"/>
      <c r="M10" s="60"/>
      <c r="N10" s="60"/>
      <c r="P10" s="1211"/>
      <c r="Q10" s="1211"/>
      <c r="R10" s="214"/>
      <c r="S10" s="767"/>
      <c r="T10" s="165" t="s">
        <v>485</v>
      </c>
      <c r="U10" s="221"/>
      <c r="V10" s="221"/>
      <c r="W10" s="221"/>
      <c r="X10" s="221"/>
      <c r="Y10" s="221"/>
      <c r="Z10" s="221"/>
      <c r="AA10" s="221"/>
      <c r="AB10" s="221"/>
      <c r="AC10" s="221"/>
      <c r="AD10" s="221"/>
      <c r="AE10" s="221"/>
      <c r="AF10" s="221"/>
      <c r="AG10" s="221"/>
      <c r="AH10" s="221"/>
      <c r="AI10" s="221"/>
      <c r="AJ10" s="221"/>
      <c r="AK10" s="221"/>
      <c r="AL10" s="195"/>
      <c r="AM10" s="1311"/>
      <c r="AO10" s="66"/>
      <c r="AP10" s="66" t="str">
        <f t="shared" si="0"/>
        <v>Добавить вид теплоносителя (параметры теплоносителя)</v>
      </c>
      <c r="AQ10" s="66"/>
      <c r="AR10" s="66"/>
    </row>
    <row r="11" spans="1:44" ht="15" hidden="1" customHeight="1">
      <c r="A11" s="793"/>
      <c r="B11" s="793"/>
      <c r="C11" s="793"/>
      <c r="D11" s="793"/>
      <c r="E11" s="1288"/>
      <c r="F11" s="1288"/>
      <c r="G11" s="1288"/>
      <c r="H11" s="1288"/>
      <c r="I11" s="1289"/>
      <c r="J11" s="793"/>
      <c r="K11" s="793"/>
      <c r="L11" s="794"/>
      <c r="M11" s="60"/>
      <c r="P11" s="1211"/>
      <c r="Q11" s="119"/>
      <c r="R11" s="214"/>
      <c r="S11" s="767"/>
      <c r="T11" s="219" t="s">
        <v>486</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3"/>
      <c r="B12" s="793"/>
      <c r="C12" s="793"/>
      <c r="D12" s="793"/>
      <c r="E12" s="1288"/>
      <c r="F12" s="1288"/>
      <c r="G12" s="1288"/>
      <c r="H12" s="1287"/>
      <c r="I12" s="793"/>
      <c r="J12" s="793"/>
      <c r="K12" s="793"/>
      <c r="L12" s="794"/>
      <c r="M12" s="433"/>
      <c r="N12" s="433"/>
      <c r="O12" s="60"/>
      <c r="P12" s="2"/>
      <c r="Q12" s="224"/>
      <c r="R12" s="213"/>
      <c r="S12" s="806"/>
      <c r="T12" s="807"/>
      <c r="U12" s="808"/>
      <c r="V12" s="808"/>
      <c r="W12" s="808"/>
      <c r="X12" s="808"/>
      <c r="Y12" s="808"/>
      <c r="Z12" s="808"/>
      <c r="AA12" s="808"/>
      <c r="AB12" s="808"/>
      <c r="AC12" s="808"/>
      <c r="AD12" s="808"/>
      <c r="AE12" s="808"/>
      <c r="AF12" s="808"/>
      <c r="AG12" s="808"/>
      <c r="AH12" s="808"/>
      <c r="AI12" s="808"/>
      <c r="AJ12" s="808"/>
      <c r="AK12" s="808"/>
      <c r="AL12" s="808"/>
      <c r="AM12" s="809"/>
      <c r="AO12" s="66"/>
      <c r="AP12" s="66" t="str">
        <f t="shared" si="0"/>
        <v/>
      </c>
      <c r="AQ12" s="66"/>
      <c r="AR12" s="66"/>
    </row>
    <row r="13" spans="1:44" s="65" customFormat="1" ht="0.75" hidden="1" customHeight="1">
      <c r="A13" s="142"/>
      <c r="B13" s="142"/>
      <c r="C13" s="142"/>
      <c r="D13" s="142"/>
      <c r="E13" s="1288"/>
      <c r="F13" s="1288"/>
      <c r="G13" s="1287"/>
      <c r="H13" s="142"/>
      <c r="I13" s="142"/>
      <c r="J13" s="142"/>
      <c r="K13" s="142"/>
      <c r="L13" s="355"/>
      <c r="M13" s="304"/>
      <c r="N13" s="304"/>
      <c r="P13" s="101"/>
      <c r="Q13" s="780"/>
      <c r="R13" s="101"/>
      <c r="S13" s="781"/>
      <c r="T13" s="782" t="s">
        <v>444</v>
      </c>
      <c r="U13" s="783"/>
      <c r="V13" s="783"/>
      <c r="W13" s="783"/>
      <c r="X13" s="783"/>
      <c r="Y13" s="783"/>
      <c r="Z13" s="783"/>
      <c r="AA13" s="783"/>
      <c r="AB13" s="783"/>
      <c r="AC13" s="783"/>
      <c r="AD13" s="783"/>
      <c r="AE13" s="783"/>
      <c r="AF13" s="783"/>
      <c r="AG13" s="783"/>
      <c r="AH13" s="783"/>
      <c r="AI13" s="783"/>
      <c r="AJ13" s="783"/>
      <c r="AK13" s="783"/>
      <c r="AL13" s="783"/>
      <c r="AM13" s="783"/>
      <c r="AO13" s="66"/>
      <c r="AP13" s="66" t="str">
        <f t="shared" si="0"/>
        <v>Добавить источник для дифференциации</v>
      </c>
      <c r="AQ13" s="66"/>
      <c r="AR13" s="66"/>
    </row>
    <row r="14" spans="1:44" s="65" customFormat="1" ht="0.75" hidden="1" customHeight="1">
      <c r="A14" s="142"/>
      <c r="B14" s="142"/>
      <c r="C14" s="142"/>
      <c r="D14" s="142"/>
      <c r="E14" s="1288"/>
      <c r="F14" s="1287"/>
      <c r="G14" s="142"/>
      <c r="H14" s="142"/>
      <c r="I14" s="142"/>
      <c r="J14" s="142"/>
      <c r="K14" s="142"/>
      <c r="L14" s="355"/>
      <c r="M14" s="784"/>
      <c r="N14" s="784"/>
      <c r="P14" s="101"/>
      <c r="Q14" s="780"/>
      <c r="R14" s="101"/>
      <c r="S14" s="785"/>
      <c r="T14" s="786" t="s">
        <v>445</v>
      </c>
      <c r="U14" s="323"/>
      <c r="V14" s="323"/>
      <c r="W14" s="323"/>
      <c r="X14" s="323"/>
      <c r="Y14" s="323"/>
      <c r="Z14" s="323"/>
      <c r="AA14" s="323"/>
      <c r="AB14" s="323"/>
      <c r="AC14" s="323"/>
      <c r="AD14" s="323"/>
      <c r="AE14" s="323"/>
      <c r="AF14" s="323"/>
      <c r="AG14" s="323"/>
      <c r="AH14" s="323"/>
      <c r="AI14" s="323"/>
      <c r="AJ14" s="323"/>
      <c r="AK14" s="323"/>
      <c r="AL14" s="323"/>
      <c r="AM14" s="323"/>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87"/>
      <c r="F15" s="142"/>
      <c r="G15" s="142"/>
      <c r="H15" s="142"/>
      <c r="I15" s="142"/>
      <c r="J15" s="142"/>
      <c r="K15" s="142"/>
      <c r="L15" s="355"/>
      <c r="M15" s="784"/>
      <c r="N15" s="784"/>
      <c r="P15" s="101"/>
      <c r="Q15" s="780"/>
      <c r="R15" s="101"/>
      <c r="S15" s="785"/>
      <c r="T15" s="787" t="s">
        <v>446</v>
      </c>
      <c r="U15" s="323"/>
      <c r="V15" s="323"/>
      <c r="W15" s="323"/>
      <c r="X15" s="323"/>
      <c r="Y15" s="323"/>
      <c r="Z15" s="323"/>
      <c r="AA15" s="323"/>
      <c r="AB15" s="323"/>
      <c r="AC15" s="323"/>
      <c r="AD15" s="323"/>
      <c r="AE15" s="323"/>
      <c r="AF15" s="323"/>
      <c r="AG15" s="323"/>
      <c r="AH15" s="323"/>
      <c r="AI15" s="323"/>
      <c r="AJ15" s="323"/>
      <c r="AK15" s="323"/>
      <c r="AL15" s="323"/>
      <c r="AM15" s="323"/>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2"/>
      <c r="AH17" s="1285"/>
      <c r="AI17" s="1284" t="s">
        <v>59</v>
      </c>
      <c r="AJ17" s="1285"/>
      <c r="AK17" s="1284" t="s">
        <v>59</v>
      </c>
    </row>
    <row r="18" spans="1:44" ht="14.25" hidden="1" customHeight="1">
      <c r="AD18" s="376"/>
      <c r="AE18" s="376"/>
      <c r="AF18" s="376"/>
      <c r="AG18" s="198" t="str">
        <f>AH17&amp;"-"&amp;AJ17</f>
        <v>-</v>
      </c>
      <c r="AH18" s="1284"/>
      <c r="AI18" s="1284"/>
      <c r="AJ18" s="1284"/>
      <c r="AK18" s="1284"/>
    </row>
    <row r="19" spans="1:44" ht="14.25" hidden="1" customHeight="1"/>
    <row r="20" spans="1:44" s="60" customFormat="1" ht="22.5" hidden="1" customHeight="1">
      <c r="L20" s="312"/>
      <c r="M20" s="519"/>
      <c r="N20" s="519"/>
      <c r="O20" s="795" t="s">
        <v>488</v>
      </c>
      <c r="P20" s="519"/>
      <c r="Q20" s="796"/>
      <c r="R20" s="796"/>
      <c r="S20" s="433"/>
      <c r="Z20" s="795"/>
      <c r="AB20" s="795"/>
      <c r="AH20" s="795"/>
      <c r="AJ20" s="795"/>
      <c r="AN20" s="65"/>
      <c r="AO20" s="65"/>
      <c r="AP20" s="65"/>
      <c r="AQ20" s="65"/>
      <c r="AR20" s="65"/>
    </row>
    <row r="21" spans="1:44" s="60" customFormat="1" ht="14.25" hidden="1" customHeight="1">
      <c r="L21" s="312"/>
      <c r="M21" s="519"/>
      <c r="N21" s="519"/>
      <c r="O21" s="519"/>
      <c r="P21" s="519"/>
      <c r="Q21" s="796"/>
      <c r="R21" s="796"/>
      <c r="S21" s="433"/>
      <c r="AN21" s="65"/>
      <c r="AO21" s="65"/>
      <c r="AP21" s="65"/>
      <c r="AQ21" s="65"/>
      <c r="AR21" s="65"/>
    </row>
    <row r="22" spans="1:44" s="60" customFormat="1" ht="14.25" hidden="1" customHeight="1">
      <c r="L22" s="312"/>
      <c r="M22" s="519"/>
      <c r="N22" s="519"/>
      <c r="O22" s="794" t="s">
        <v>489</v>
      </c>
      <c r="P22" s="519"/>
      <c r="Q22" s="796"/>
      <c r="R22" s="796"/>
      <c r="S22" s="433"/>
      <c r="T22" s="60" t="s">
        <v>490</v>
      </c>
      <c r="AA22" s="79" t="s">
        <v>491</v>
      </c>
      <c r="AC22" s="79" t="s">
        <v>492</v>
      </c>
      <c r="AD22" s="60" t="s">
        <v>490</v>
      </c>
      <c r="AI22" s="79" t="s">
        <v>493</v>
      </c>
      <c r="AK22" s="79" t="s">
        <v>492</v>
      </c>
      <c r="AN22" s="65"/>
      <c r="AO22" s="65"/>
      <c r="AP22" s="65"/>
      <c r="AQ22" s="65"/>
      <c r="AR22" s="65"/>
    </row>
    <row r="23" spans="1:44" ht="14.25" hidden="1" customHeight="1">
      <c r="O23" s="794"/>
    </row>
    <row r="24" spans="1:44" ht="14.25" hidden="1" customHeight="1">
      <c r="O24" s="794"/>
    </row>
    <row r="25" spans="1:44" ht="14.25" customHeight="1">
      <c r="Q25" s="27"/>
      <c r="R25" s="27"/>
      <c r="S25" s="764"/>
      <c r="T25" s="8"/>
      <c r="U25" s="8"/>
    </row>
    <row r="26" spans="1:44" ht="64.5" customHeight="1">
      <c r="Q26" s="27"/>
      <c r="R26" s="27"/>
      <c r="S26" s="1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312"/>
      <c r="U26" s="1312"/>
      <c r="V26" s="1312"/>
      <c r="W26" s="1312"/>
      <c r="X26" s="1312"/>
      <c r="Y26" s="1312"/>
      <c r="Z26" s="1312"/>
      <c r="AA26" s="1312"/>
      <c r="AB26" s="1312"/>
      <c r="AC26" s="1312"/>
      <c r="AD26" s="1312"/>
      <c r="AE26" s="1312"/>
      <c r="AF26" s="1312"/>
      <c r="AG26" s="1312"/>
      <c r="AH26" s="1312"/>
      <c r="AI26" s="1312"/>
      <c r="AJ26" s="1312"/>
      <c r="AK26" s="57"/>
    </row>
    <row r="27" spans="1:44" ht="14.25" customHeight="1">
      <c r="Q27" s="27"/>
      <c r="R27" s="27"/>
      <c r="S27" s="1178" t="str">
        <f>IF(org=0,"Не определено",org)</f>
        <v>ООО "Концессионная Коммунальная Компания"</v>
      </c>
      <c r="T27" s="1178"/>
      <c r="U27" s="1178"/>
      <c r="V27" s="1178"/>
      <c r="W27" s="1178"/>
      <c r="X27" s="1178"/>
      <c r="Y27" s="1178"/>
      <c r="Z27" s="1178"/>
      <c r="AA27" s="1178"/>
      <c r="AB27" s="1178"/>
      <c r="AC27" s="1178"/>
      <c r="AD27" s="1178"/>
      <c r="AE27" s="1178"/>
      <c r="AF27" s="1178"/>
      <c r="AG27" s="1178"/>
      <c r="AH27" s="1178"/>
      <c r="AI27" s="1178"/>
      <c r="AJ27" s="1178"/>
      <c r="AK27" s="57"/>
    </row>
    <row r="28" spans="1:44" ht="14.25" hidden="1" customHeight="1">
      <c r="Q28" s="27"/>
      <c r="R28" s="27"/>
      <c r="S28" s="764"/>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4"/>
      <c r="M29" s="79"/>
      <c r="N29" s="79"/>
      <c r="O29" s="79"/>
      <c r="S29" s="1278" t="s">
        <v>40</v>
      </c>
      <c r="T29" s="1278"/>
      <c r="U29" s="797"/>
      <c r="V29" s="1280" t="str">
        <f>IF(TITLE_NAME_OR_PR_CHANGE="",IF(TITLE_NAME_OR_PR="","",TITLE_NAME_OR_PR),TITLE_NAME_OR_PR_CHANGE)</f>
        <v/>
      </c>
      <c r="W29" s="1280"/>
      <c r="X29" s="1280"/>
      <c r="Y29" s="1280"/>
      <c r="Z29" s="1280"/>
      <c r="AA29" s="1280"/>
      <c r="AB29" s="1280"/>
      <c r="AC29" s="9"/>
      <c r="AD29" s="1280" t="str">
        <f>IF(TITLE_NAME_OR_PR_CHANGE="",IF(TITLE_NAME_OR_PR="","",TITLE_NAME_OR_PR),TITLE_NAME_OR_PR_CHANGE)</f>
        <v/>
      </c>
      <c r="AE29" s="1280"/>
      <c r="AF29" s="1280"/>
      <c r="AG29" s="1280"/>
      <c r="AH29" s="1280"/>
      <c r="AI29" s="1280"/>
      <c r="AJ29" s="1280"/>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4"/>
      <c r="M30" s="79"/>
      <c r="N30" s="79"/>
      <c r="O30" s="79"/>
      <c r="S30" s="1278" t="s">
        <v>494</v>
      </c>
      <c r="T30" s="1278"/>
      <c r="U30" s="797"/>
      <c r="V30" s="1279" t="str">
        <f>IF(TITLE_DATE_CHANGE_PERIOD="",IF(TITLE_DATE_PR="","",TITLE_DATE_PR),TITLE_DATE_CHANGE_PERIOD)</f>
        <v/>
      </c>
      <c r="W30" s="1279"/>
      <c r="X30" s="1279"/>
      <c r="Y30" s="1279"/>
      <c r="Z30" s="1279"/>
      <c r="AA30" s="1279"/>
      <c r="AB30" s="1279"/>
      <c r="AC30" s="9"/>
      <c r="AD30" s="1279" t="str">
        <f>IF(TITLE_DATE_CHANGE_PERIOD="",IF(TITLE_DATE_PR="","",TITLE_DATE_PR),TITLE_DATE_CHANGE_PERIOD)</f>
        <v/>
      </c>
      <c r="AE30" s="1279"/>
      <c r="AF30" s="1279"/>
      <c r="AG30" s="1279"/>
      <c r="AH30" s="1279"/>
      <c r="AI30" s="1279"/>
      <c r="AJ30" s="1279"/>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4"/>
      <c r="M31" s="79"/>
      <c r="N31" s="79"/>
      <c r="O31" s="79"/>
      <c r="S31" s="1278" t="s">
        <v>495</v>
      </c>
      <c r="T31" s="1278"/>
      <c r="U31" s="797"/>
      <c r="V31" s="1280" t="str">
        <f>IF(TITLE_NUMBER_PR_CHANGE="",IF(TITLE_NUMBER_PR="","",TITLE_NUMBER_PR),TITLE_NUMBER_PR_CHANGE)</f>
        <v/>
      </c>
      <c r="W31" s="1280"/>
      <c r="X31" s="1280"/>
      <c r="Y31" s="1280"/>
      <c r="Z31" s="1280"/>
      <c r="AA31" s="1280"/>
      <c r="AB31" s="1280"/>
      <c r="AC31" s="9"/>
      <c r="AD31" s="1280" t="str">
        <f>IF(TITLE_NUMBER_PR_CHANGE="",IF(TITLE_NUMBER_PR="","",TITLE_NUMBER_PR),TITLE_NUMBER_PR_CHANGE)</f>
        <v/>
      </c>
      <c r="AE31" s="1280"/>
      <c r="AF31" s="1280"/>
      <c r="AG31" s="1280"/>
      <c r="AH31" s="1280"/>
      <c r="AI31" s="1280"/>
      <c r="AJ31" s="1280"/>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4"/>
      <c r="M32" s="79"/>
      <c r="N32" s="79"/>
      <c r="O32" s="79"/>
      <c r="S32" s="1278" t="s">
        <v>41</v>
      </c>
      <c r="T32" s="1278"/>
      <c r="U32" s="797"/>
      <c r="V32" s="1280" t="str">
        <f>IF(TITLE_IST_PUB_CHANGE="",IF(TITLE_IST_PUB="","",TITLE_IST_PUB),TITLE_IST_PUB_CHANGE)</f>
        <v/>
      </c>
      <c r="W32" s="1280"/>
      <c r="X32" s="1280"/>
      <c r="Y32" s="1280"/>
      <c r="Z32" s="1280"/>
      <c r="AA32" s="1280"/>
      <c r="AB32" s="1280"/>
      <c r="AC32" s="9"/>
      <c r="AD32" s="1280" t="str">
        <f>IF(TITLE_IST_PUB_CHANGE="",IF(TITLE_IST_PUB="","",TITLE_IST_PUB),TITLE_IST_PUB_CHANGE)</f>
        <v/>
      </c>
      <c r="AE32" s="1280"/>
      <c r="AF32" s="1280"/>
      <c r="AG32" s="1280"/>
      <c r="AH32" s="1280"/>
      <c r="AI32" s="1280"/>
      <c r="AJ32" s="1280"/>
      <c r="AK32" s="9"/>
      <c r="AL32" s="9"/>
      <c r="AM32" s="162"/>
      <c r="AN32" s="66"/>
      <c r="AO32" s="66"/>
      <c r="AP32" s="66"/>
      <c r="AQ32" s="66"/>
      <c r="AR32" s="66"/>
    </row>
    <row r="33" spans="1:44" ht="14.25" hidden="1" customHeight="1">
      <c r="Q33" s="27"/>
      <c r="R33" s="27"/>
      <c r="S33" s="764"/>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4"/>
      <c r="M34" s="79"/>
      <c r="N34" s="79"/>
      <c r="O34" s="79"/>
      <c r="S34" s="1278" t="s">
        <v>496</v>
      </c>
      <c r="T34" s="1278"/>
      <c r="U34" s="797"/>
      <c r="V34" s="1279" t="str">
        <f>IF(TITLE_DATE_CHANGE_PERIOD="",IF(TITLE_DATE_PR="","",TITLE_DATE_PR),TITLE_DATE_CHANGE_PERIOD)</f>
        <v/>
      </c>
      <c r="W34" s="1279"/>
      <c r="X34" s="1279"/>
      <c r="Y34" s="1279"/>
      <c r="Z34" s="1279"/>
      <c r="AA34" s="1279"/>
      <c r="AB34" s="1279"/>
      <c r="AC34" s="9"/>
      <c r="AD34" s="1279" t="str">
        <f>IF(TITLE_DATE_CHANGE_PERIOD="",IF(TITLE_DATE_PR="","",TITLE_DATE_PR),TITLE_DATE_CHANGE_PERIOD)</f>
        <v/>
      </c>
      <c r="AE34" s="1279"/>
      <c r="AF34" s="1279"/>
      <c r="AG34" s="1279"/>
      <c r="AH34" s="1279"/>
      <c r="AI34" s="1279"/>
      <c r="AJ34" s="1279"/>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4"/>
      <c r="M35" s="79"/>
      <c r="N35" s="79"/>
      <c r="O35" s="79"/>
      <c r="S35" s="1278" t="s">
        <v>497</v>
      </c>
      <c r="T35" s="1278"/>
      <c r="U35" s="797"/>
      <c r="V35" s="1280" t="str">
        <f>IF(TITLE_NUMBER_PR_CHANGE="",IF(TITLE_NUMBER_PR="","",TITLE_NUMBER_PR),TITLE_NUMBER_PR_CHANGE)</f>
        <v/>
      </c>
      <c r="W35" s="1280"/>
      <c r="X35" s="1280"/>
      <c r="Y35" s="1280"/>
      <c r="Z35" s="1280"/>
      <c r="AA35" s="1280"/>
      <c r="AB35" s="1280"/>
      <c r="AC35" s="9"/>
      <c r="AD35" s="1280" t="str">
        <f>IF(TITLE_NUMBER_PR_CHANGE="",IF(TITLE_NUMBER_PR="","",TITLE_NUMBER_PR),TITLE_NUMBER_PR_CHANGE)</f>
        <v/>
      </c>
      <c r="AE35" s="1280"/>
      <c r="AF35" s="1280"/>
      <c r="AG35" s="1280"/>
      <c r="AH35" s="1280"/>
      <c r="AI35" s="1280"/>
      <c r="AJ35" s="1280"/>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4"/>
      <c r="M36" s="79"/>
      <c r="N36" s="79"/>
      <c r="O36" s="79"/>
      <c r="S36" s="9"/>
      <c r="T36" s="9"/>
      <c r="U36" s="75"/>
      <c r="V36" s="9"/>
      <c r="W36" s="9"/>
      <c r="X36" s="9"/>
      <c r="Y36" s="9"/>
      <c r="Z36" s="9"/>
      <c r="AA36" s="9"/>
      <c r="AB36" s="9"/>
      <c r="AC36" s="65" t="s">
        <v>498</v>
      </c>
      <c r="AD36" s="9"/>
      <c r="AE36" s="9"/>
      <c r="AF36" s="9"/>
      <c r="AG36" s="9"/>
      <c r="AH36" s="9"/>
      <c r="AI36" s="9"/>
      <c r="AJ36" s="9"/>
      <c r="AK36" s="65" t="s">
        <v>498</v>
      </c>
      <c r="AN36" s="66"/>
      <c r="AO36" s="66"/>
      <c r="AP36" s="66"/>
      <c r="AQ36" s="66"/>
      <c r="AR36" s="66"/>
    </row>
    <row r="37" spans="1:44" ht="14.25" customHeight="1">
      <c r="Q37" s="27"/>
      <c r="R37" s="27"/>
      <c r="S37" s="764"/>
      <c r="T37" s="8"/>
      <c r="U37" s="736"/>
      <c r="V37" s="1298"/>
      <c r="W37" s="1298"/>
      <c r="X37" s="1298"/>
      <c r="Y37" s="1298"/>
      <c r="Z37" s="1298"/>
      <c r="AA37" s="1298"/>
      <c r="AB37" s="1298"/>
      <c r="AC37" s="1298"/>
      <c r="AD37" s="1298"/>
      <c r="AE37" s="1298"/>
      <c r="AF37" s="1298"/>
      <c r="AG37" s="1298"/>
      <c r="AH37" s="1298"/>
      <c r="AI37" s="1298"/>
      <c r="AJ37" s="1298"/>
      <c r="AK37" s="1298"/>
    </row>
    <row r="38" spans="1:44" ht="14.25" customHeight="1">
      <c r="Q38" s="27"/>
      <c r="R38" s="27"/>
      <c r="S38" s="1082" t="s">
        <v>302</v>
      </c>
      <c r="T38" s="1082"/>
      <c r="U38" s="1082"/>
      <c r="V38" s="1082"/>
      <c r="W38" s="1082"/>
      <c r="X38" s="1082"/>
      <c r="Y38" s="1082"/>
      <c r="Z38" s="1082"/>
      <c r="AA38" s="1082"/>
      <c r="AB38" s="1082"/>
      <c r="AC38" s="1082"/>
      <c r="AD38" s="1082"/>
      <c r="AE38" s="1082"/>
      <c r="AF38" s="1082"/>
      <c r="AG38" s="1082"/>
      <c r="AH38" s="1082"/>
      <c r="AI38" s="1082"/>
      <c r="AJ38" s="1082"/>
      <c r="AK38" s="1082"/>
      <c r="AL38" s="1082"/>
      <c r="AM38" s="1082" t="s">
        <v>303</v>
      </c>
    </row>
    <row r="39" spans="1:44" ht="14.25" customHeight="1">
      <c r="Q39" s="27"/>
      <c r="R39" s="27"/>
      <c r="S39" s="1299" t="s">
        <v>88</v>
      </c>
      <c r="T39" s="1176" t="s">
        <v>499</v>
      </c>
      <c r="U39" s="171"/>
      <c r="V39" s="1300" t="s">
        <v>500</v>
      </c>
      <c r="W39" s="1301"/>
      <c r="X39" s="1301"/>
      <c r="Y39" s="1301"/>
      <c r="Z39" s="1301"/>
      <c r="AA39" s="1301"/>
      <c r="AB39" s="1302"/>
      <c r="AC39" s="1303" t="s">
        <v>501</v>
      </c>
      <c r="AD39" s="1300" t="s">
        <v>500</v>
      </c>
      <c r="AE39" s="1301"/>
      <c r="AF39" s="1301"/>
      <c r="AG39" s="1301"/>
      <c r="AH39" s="1301"/>
      <c r="AI39" s="1301"/>
      <c r="AJ39" s="1302"/>
      <c r="AK39" s="1303" t="s">
        <v>502</v>
      </c>
      <c r="AL39" s="1306" t="s">
        <v>503</v>
      </c>
      <c r="AM39" s="1082"/>
    </row>
    <row r="40" spans="1:44" ht="33.75" customHeight="1">
      <c r="Q40" s="27"/>
      <c r="R40" s="27"/>
      <c r="S40" s="1299"/>
      <c r="T40" s="1176"/>
      <c r="U40" s="621"/>
      <c r="V40" s="1145" t="s">
        <v>504</v>
      </c>
      <c r="W40" s="1295"/>
      <c r="X40" s="1063" t="s">
        <v>506</v>
      </c>
      <c r="Y40" s="1062"/>
      <c r="Z40" s="1063" t="s">
        <v>507</v>
      </c>
      <c r="AA40" s="1068"/>
      <c r="AB40" s="1062"/>
      <c r="AC40" s="1304"/>
      <c r="AD40" s="1145" t="s">
        <v>504</v>
      </c>
      <c r="AE40" s="1295"/>
      <c r="AF40" s="1063" t="s">
        <v>506</v>
      </c>
      <c r="AG40" s="1062"/>
      <c r="AH40" s="1063" t="s">
        <v>507</v>
      </c>
      <c r="AI40" s="1068"/>
      <c r="AJ40" s="1062"/>
      <c r="AK40" s="1304"/>
      <c r="AL40" s="1307"/>
      <c r="AM40" s="1082"/>
    </row>
    <row r="41" spans="1:44" ht="33.75" customHeight="1">
      <c r="A41" s="79"/>
      <c r="B41" s="79" t="s">
        <v>151</v>
      </c>
      <c r="C41" s="79" t="s">
        <v>152</v>
      </c>
      <c r="D41" s="79" t="s">
        <v>153</v>
      </c>
      <c r="E41" s="794" t="s">
        <v>508</v>
      </c>
      <c r="F41" s="794" t="s">
        <v>509</v>
      </c>
      <c r="G41" s="794" t="s">
        <v>510</v>
      </c>
      <c r="H41" s="794" t="s">
        <v>511</v>
      </c>
      <c r="I41" s="794" t="s">
        <v>512</v>
      </c>
      <c r="J41" s="794" t="s">
        <v>513</v>
      </c>
      <c r="K41" s="794" t="s">
        <v>514</v>
      </c>
      <c r="L41" s="794" t="s">
        <v>489</v>
      </c>
      <c r="Q41" s="27"/>
      <c r="R41" s="27"/>
      <c r="S41" s="1299"/>
      <c r="T41" s="1176"/>
      <c r="U41" s="172"/>
      <c r="V41" s="1200"/>
      <c r="W41" s="1296"/>
      <c r="X41" s="37" t="s">
        <v>515</v>
      </c>
      <c r="Y41" s="37" t="s">
        <v>516</v>
      </c>
      <c r="Z41" s="37" t="s">
        <v>517</v>
      </c>
      <c r="AA41" s="1182" t="s">
        <v>518</v>
      </c>
      <c r="AB41" s="1195"/>
      <c r="AC41" s="1305"/>
      <c r="AD41" s="1200"/>
      <c r="AE41" s="1296"/>
      <c r="AF41" s="37" t="s">
        <v>515</v>
      </c>
      <c r="AG41" s="37" t="s">
        <v>516</v>
      </c>
      <c r="AH41" s="37" t="s">
        <v>517</v>
      </c>
      <c r="AI41" s="1182" t="s">
        <v>518</v>
      </c>
      <c r="AJ41" s="1195"/>
      <c r="AK41" s="1305"/>
      <c r="AL41" s="1308"/>
      <c r="AM41" s="1082"/>
    </row>
    <row r="42" spans="1:44" s="209" customFormat="1" ht="11.25" hidden="1" customHeight="1">
      <c r="A42" s="79"/>
      <c r="B42" s="79"/>
      <c r="C42" s="79"/>
      <c r="D42" s="79"/>
      <c r="E42" s="79"/>
      <c r="F42" s="79"/>
      <c r="G42" s="79"/>
      <c r="H42" s="79"/>
      <c r="I42" s="79"/>
      <c r="J42" s="79"/>
      <c r="K42" s="79"/>
      <c r="L42" s="794"/>
      <c r="M42" s="519"/>
      <c r="N42" s="519"/>
      <c r="O42" s="519"/>
      <c r="P42" s="738"/>
      <c r="Q42" s="739"/>
      <c r="R42" s="747">
        <v>1</v>
      </c>
      <c r="S42" s="766" t="s">
        <v>119</v>
      </c>
      <c r="T42" s="748" t="s">
        <v>103</v>
      </c>
      <c r="U42" s="737" t="str">
        <f ca="1">OFFSET(U42,0,-1)</f>
        <v>2</v>
      </c>
      <c r="V42" s="749">
        <f ca="1">OFFSET(V42,0,-1)+1</f>
        <v>3</v>
      </c>
      <c r="W42" s="749"/>
      <c r="X42" s="749">
        <f ca="1">OFFSET(X42,0,-1)+1</f>
        <v>1</v>
      </c>
      <c r="Y42" s="749">
        <f ca="1">OFFSET(Y42,0,-1)+1</f>
        <v>2</v>
      </c>
      <c r="Z42" s="749">
        <f ca="1">OFFSET(Z42,0,-1)+1</f>
        <v>3</v>
      </c>
      <c r="AA42" s="1297">
        <f ca="1">OFFSET(AA42,0,-1)+1</f>
        <v>4</v>
      </c>
      <c r="AB42" s="1297"/>
      <c r="AC42" s="749">
        <f ca="1">OFFSET(AC42,0,-2)+1</f>
        <v>5</v>
      </c>
      <c r="AD42" s="749">
        <f ca="1">OFFSET(AD42,0,-1)+1</f>
        <v>6</v>
      </c>
      <c r="AE42" s="749"/>
      <c r="AF42" s="749">
        <f ca="1">OFFSET(AF42,0,-1)+1</f>
        <v>1</v>
      </c>
      <c r="AG42" s="749">
        <f ca="1">OFFSET(AG42,0,-1)+1</f>
        <v>2</v>
      </c>
      <c r="AH42" s="749">
        <f ca="1">OFFSET(AH42,0,-1)+1</f>
        <v>3</v>
      </c>
      <c r="AI42" s="1297">
        <f ca="1">OFFSET(AI42,0,-1)+1</f>
        <v>4</v>
      </c>
      <c r="AJ42" s="1297"/>
      <c r="AK42" s="749">
        <f ca="1">OFFSET(AK42,0,-2)+1</f>
        <v>5</v>
      </c>
      <c r="AL42" s="737">
        <f ca="1">OFFSET(AL42,0,-1)</f>
        <v>5</v>
      </c>
      <c r="AM42" s="749">
        <f ca="1">OFFSET(AM42,0,-1)+1</f>
        <v>6</v>
      </c>
      <c r="AN42" s="65"/>
      <c r="AO42" s="65"/>
      <c r="AP42" s="65"/>
      <c r="AQ42" s="65"/>
      <c r="AR42" s="65"/>
    </row>
    <row r="43" spans="1:44" ht="21" customHeight="1">
      <c r="A43" s="793" t="s">
        <v>184</v>
      </c>
      <c r="B43" s="793"/>
      <c r="C43" s="793"/>
      <c r="D43" s="793"/>
      <c r="E43" s="1287">
        <v>1</v>
      </c>
      <c r="F43" s="793"/>
      <c r="G43" s="793"/>
      <c r="H43" s="793"/>
      <c r="I43" s="793"/>
      <c r="J43" s="793"/>
      <c r="K43" s="793"/>
      <c r="L43" s="794"/>
      <c r="M43" s="433"/>
      <c r="N43" s="433"/>
      <c r="O43" s="433"/>
      <c r="Q43" s="2"/>
      <c r="R43" s="213"/>
      <c r="S43" s="725">
        <f>INDEX(PT_DIFFERENTIATION_NUM_NTAR,MATCH(A43,PT_DIFFERENTIATION_NTAR_ID,0))</f>
        <v>0</v>
      </c>
      <c r="T43" s="64" t="s">
        <v>139</v>
      </c>
      <c r="U43" s="170"/>
      <c r="V43" s="1281"/>
      <c r="W43" s="1282"/>
      <c r="X43" s="1282"/>
      <c r="Y43" s="1282"/>
      <c r="Z43" s="1282"/>
      <c r="AA43" s="1282"/>
      <c r="AB43" s="1282"/>
      <c r="AC43" s="1283"/>
      <c r="AD43" s="1281" t="str">
        <f>INDEX(PT_DIFFERENTIATION_NTAR,MATCH(A43,PT_DIFFERENTIATION_NTAR_ID,0))</f>
        <v/>
      </c>
      <c r="AE43" s="1282"/>
      <c r="AF43" s="1282"/>
      <c r="AG43" s="1282"/>
      <c r="AH43" s="1282"/>
      <c r="AI43" s="1282"/>
      <c r="AJ43" s="1282"/>
      <c r="AK43" s="1282"/>
      <c r="AL43" s="1283"/>
      <c r="AM43" s="75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3" t="s">
        <v>184</v>
      </c>
      <c r="B44" s="793" t="s">
        <v>185</v>
      </c>
      <c r="C44" s="793"/>
      <c r="D44" s="793"/>
      <c r="E44" s="1288"/>
      <c r="F44" s="1287">
        <v>1</v>
      </c>
      <c r="G44" s="793"/>
      <c r="H44" s="793"/>
      <c r="I44" s="793"/>
      <c r="J44" s="793"/>
      <c r="K44" s="793"/>
      <c r="L44" s="794"/>
      <c r="M44" s="433"/>
      <c r="N44" s="433"/>
      <c r="O44" s="433"/>
      <c r="P44" s="56"/>
      <c r="Q44" s="210"/>
      <c r="R44" s="211"/>
      <c r="S44" s="725" t="str">
        <f>INDEX(PT_DIFFERENTIATION_NUM_TER,MATCH(B44,PT_DIFFERENTIATION_TER_ID,0))</f>
        <v>.</v>
      </c>
      <c r="T44" s="178" t="s">
        <v>471</v>
      </c>
      <c r="U44" s="170"/>
      <c r="V44" s="1281"/>
      <c r="W44" s="1282"/>
      <c r="X44" s="1282"/>
      <c r="Y44" s="1282"/>
      <c r="Z44" s="1282"/>
      <c r="AA44" s="1282"/>
      <c r="AB44" s="1282"/>
      <c r="AC44" s="1283"/>
      <c r="AD44" s="1281" t="str">
        <f>INDEX(PT_DIFFERENTIATION_TER,MATCH(B44,PT_DIFFERENTIATION_TER_ID,0))</f>
        <v/>
      </c>
      <c r="AE44" s="1282"/>
      <c r="AF44" s="1282"/>
      <c r="AG44" s="1282"/>
      <c r="AH44" s="1282"/>
      <c r="AI44" s="1282"/>
      <c r="AJ44" s="1282"/>
      <c r="AK44" s="1282"/>
      <c r="AL44" s="1283"/>
      <c r="AM44" s="753" t="s">
        <v>472</v>
      </c>
      <c r="AO44" s="66"/>
      <c r="AP44" s="66" t="str">
        <f t="shared" si="1"/>
        <v>Территория действия тарифа</v>
      </c>
      <c r="AQ44" s="66"/>
      <c r="AR44" s="66"/>
    </row>
    <row r="45" spans="1:44" ht="23.25" customHeight="1">
      <c r="A45" s="793" t="s">
        <v>184</v>
      </c>
      <c r="B45" s="793" t="s">
        <v>185</v>
      </c>
      <c r="C45" s="793" t="s">
        <v>186</v>
      </c>
      <c r="D45" s="793"/>
      <c r="E45" s="1288"/>
      <c r="F45" s="1288"/>
      <c r="G45" s="1287">
        <v>1</v>
      </c>
      <c r="H45" s="793"/>
      <c r="I45" s="793"/>
      <c r="J45" s="793"/>
      <c r="K45" s="793"/>
      <c r="L45" s="794"/>
      <c r="M45" s="433"/>
      <c r="N45" s="433"/>
      <c r="O45" s="433"/>
      <c r="P45" s="212"/>
      <c r="Q45" s="210"/>
      <c r="R45" s="211"/>
      <c r="S45" s="725" t="str">
        <f>INDEX(PT_DIFFERENTIATION_NUM_CS,MATCH(C45,PT_DIFFERENTIATION_CS_ID,0))</f>
        <v>..</v>
      </c>
      <c r="T45" s="179" t="s">
        <v>473</v>
      </c>
      <c r="U45" s="170"/>
      <c r="V45" s="1281"/>
      <c r="W45" s="1282"/>
      <c r="X45" s="1282"/>
      <c r="Y45" s="1282"/>
      <c r="Z45" s="1282"/>
      <c r="AA45" s="1282"/>
      <c r="AB45" s="1282"/>
      <c r="AC45" s="1283"/>
      <c r="AD45" s="1281" t="str">
        <f>INDEX(PT_DIFFERENTIATION_CS,MATCH(C45,PT_DIFFERENTIATION_CS_ID,0))</f>
        <v/>
      </c>
      <c r="AE45" s="1282"/>
      <c r="AF45" s="1282"/>
      <c r="AG45" s="1282"/>
      <c r="AH45" s="1282"/>
      <c r="AI45" s="1282"/>
      <c r="AJ45" s="1282"/>
      <c r="AK45" s="1282"/>
      <c r="AL45" s="1283"/>
      <c r="AM45" s="753" t="s">
        <v>474</v>
      </c>
      <c r="AO45" s="66"/>
      <c r="AP45" s="66" t="str">
        <f t="shared" si="1"/>
        <v xml:space="preserve">Наименование системы теплоснабжения </v>
      </c>
      <c r="AQ45" s="66"/>
      <c r="AR45" s="66"/>
    </row>
    <row r="46" spans="1:44" ht="21" customHeight="1">
      <c r="A46" s="793" t="s">
        <v>184</v>
      </c>
      <c r="B46" s="793" t="s">
        <v>185</v>
      </c>
      <c r="C46" s="793" t="s">
        <v>186</v>
      </c>
      <c r="D46" s="793" t="s">
        <v>187</v>
      </c>
      <c r="E46" s="1288"/>
      <c r="F46" s="1288"/>
      <c r="G46" s="1288"/>
      <c r="H46" s="1287">
        <v>1</v>
      </c>
      <c r="I46" s="793"/>
      <c r="J46" s="793"/>
      <c r="K46" s="793"/>
      <c r="L46" s="794"/>
      <c r="M46" s="433"/>
      <c r="N46" s="433"/>
      <c r="O46" s="433"/>
      <c r="P46" s="212"/>
      <c r="Q46" s="210"/>
      <c r="R46" s="211"/>
      <c r="S46" s="725" t="str">
        <f>INDEX(PT_DIFFERENTIATION_NUM_IST_TE,MATCH(D46,PT_DIFFERENTIATION_IST_TE_ID,0))</f>
        <v>...</v>
      </c>
      <c r="T46" s="180" t="s">
        <v>475</v>
      </c>
      <c r="U46" s="170"/>
      <c r="V46" s="1281"/>
      <c r="W46" s="1282"/>
      <c r="X46" s="1282"/>
      <c r="Y46" s="1282"/>
      <c r="Z46" s="1282"/>
      <c r="AA46" s="1282"/>
      <c r="AB46" s="1282"/>
      <c r="AC46" s="1283"/>
      <c r="AD46" s="1281" t="str">
        <f>INDEX(PT_DIFFERENTIATION_IST_TE,MATCH(D46,PT_DIFFERENTIATION_IST_TE_ID,0))</f>
        <v/>
      </c>
      <c r="AE46" s="1282"/>
      <c r="AF46" s="1282"/>
      <c r="AG46" s="1282"/>
      <c r="AH46" s="1282"/>
      <c r="AI46" s="1282"/>
      <c r="AJ46" s="1282"/>
      <c r="AK46" s="1282"/>
      <c r="AL46" s="1283"/>
      <c r="AM46" s="753" t="s">
        <v>476</v>
      </c>
      <c r="AO46" s="66"/>
      <c r="AP46" s="66" t="str">
        <f t="shared" si="1"/>
        <v xml:space="preserve">Источник тепловой энергии  </v>
      </c>
      <c r="AQ46" s="66"/>
      <c r="AR46" s="66"/>
    </row>
    <row r="47" spans="1:44" s="65" customFormat="1" ht="0" hidden="1" customHeight="1">
      <c r="A47" s="142" t="s">
        <v>184</v>
      </c>
      <c r="B47" s="142" t="s">
        <v>185</v>
      </c>
      <c r="C47" s="142" t="s">
        <v>186</v>
      </c>
      <c r="D47" s="142" t="s">
        <v>187</v>
      </c>
      <c r="E47" s="1288"/>
      <c r="F47" s="1288"/>
      <c r="G47" s="1288"/>
      <c r="H47" s="1288"/>
      <c r="I47" s="1289" t="str">
        <f>S46&amp;".1"</f>
        <v>....1</v>
      </c>
      <c r="J47" s="142"/>
      <c r="K47" s="142"/>
      <c r="L47" s="355" t="s">
        <v>477</v>
      </c>
      <c r="M47" s="228"/>
      <c r="N47" s="228"/>
      <c r="O47" s="228"/>
      <c r="P47" s="1211">
        <v>1</v>
      </c>
      <c r="Q47" s="119"/>
      <c r="R47" s="214"/>
      <c r="S47" s="371"/>
      <c r="T47" s="803"/>
      <c r="U47" s="804"/>
      <c r="V47" s="1316"/>
      <c r="W47" s="1317"/>
      <c r="X47" s="1317"/>
      <c r="Y47" s="1317"/>
      <c r="Z47" s="1317"/>
      <c r="AA47" s="1317"/>
      <c r="AB47" s="1317"/>
      <c r="AC47" s="1318"/>
      <c r="AD47" s="1316"/>
      <c r="AE47" s="1317"/>
      <c r="AF47" s="1317"/>
      <c r="AG47" s="1317"/>
      <c r="AH47" s="1317"/>
      <c r="AI47" s="1317"/>
      <c r="AJ47" s="1317"/>
      <c r="AK47" s="1317"/>
      <c r="AL47" s="1318"/>
      <c r="AM47" s="805"/>
      <c r="AO47" s="66"/>
      <c r="AP47" s="66" t="str">
        <f t="shared" si="1"/>
        <v/>
      </c>
      <c r="AQ47" s="66"/>
      <c r="AR47" s="66"/>
    </row>
    <row r="48" spans="1:44" ht="21" customHeight="1">
      <c r="A48" s="793" t="s">
        <v>184</v>
      </c>
      <c r="B48" s="793" t="s">
        <v>185</v>
      </c>
      <c r="C48" s="793" t="s">
        <v>186</v>
      </c>
      <c r="D48" s="793" t="s">
        <v>187</v>
      </c>
      <c r="E48" s="1288"/>
      <c r="F48" s="1288"/>
      <c r="G48" s="1288"/>
      <c r="H48" s="1288"/>
      <c r="I48" s="1290"/>
      <c r="J48" s="1289" t="str">
        <f>S46&amp;".1"</f>
        <v>....1</v>
      </c>
      <c r="K48" s="793"/>
      <c r="L48" s="794" t="s">
        <v>480</v>
      </c>
      <c r="P48" s="1211"/>
      <c r="Q48" s="1211">
        <v>1</v>
      </c>
      <c r="R48" s="215"/>
      <c r="S48" s="725" t="str">
        <f>$J48</f>
        <v>....1</v>
      </c>
      <c r="T48" s="164" t="s">
        <v>481</v>
      </c>
      <c r="U48" s="170"/>
      <c r="V48" s="1275"/>
      <c r="W48" s="1276"/>
      <c r="X48" s="1276"/>
      <c r="Y48" s="1276"/>
      <c r="Z48" s="1276"/>
      <c r="AA48" s="1276"/>
      <c r="AB48" s="1276"/>
      <c r="AC48" s="1277"/>
      <c r="AD48" s="1275"/>
      <c r="AE48" s="1276"/>
      <c r="AF48" s="1276"/>
      <c r="AG48" s="1276"/>
      <c r="AH48" s="1276"/>
      <c r="AI48" s="1276"/>
      <c r="AJ48" s="1276"/>
      <c r="AK48" s="1276"/>
      <c r="AL48" s="1277"/>
      <c r="AM48" s="753" t="s">
        <v>482</v>
      </c>
      <c r="AO48" s="66"/>
      <c r="AP48" s="66" t="str">
        <f t="shared" si="1"/>
        <v>Группа потребителей</v>
      </c>
      <c r="AQ48" s="66"/>
      <c r="AR48" s="66"/>
    </row>
    <row r="49" spans="1:44" ht="21" customHeight="1">
      <c r="A49" s="793" t="s">
        <v>184</v>
      </c>
      <c r="B49" s="793" t="s">
        <v>185</v>
      </c>
      <c r="C49" s="793" t="s">
        <v>186</v>
      </c>
      <c r="D49" s="793" t="s">
        <v>187</v>
      </c>
      <c r="E49" s="1288"/>
      <c r="F49" s="1288"/>
      <c r="G49" s="1288"/>
      <c r="H49" s="1288"/>
      <c r="I49" s="1290"/>
      <c r="J49" s="1290"/>
      <c r="K49" s="1289" t="str">
        <f>J48&amp;".1"</f>
        <v>....1.1</v>
      </c>
      <c r="L49" s="794" t="s">
        <v>483</v>
      </c>
      <c r="P49" s="1211"/>
      <c r="Q49" s="1211"/>
      <c r="R49" s="215">
        <v>1</v>
      </c>
      <c r="S49" s="725" t="str">
        <f>$K49</f>
        <v>....1.1</v>
      </c>
      <c r="T49" s="789"/>
      <c r="U49" s="170"/>
      <c r="V49" s="317"/>
      <c r="W49" s="196"/>
      <c r="X49" s="317"/>
      <c r="Y49" s="752"/>
      <c r="Z49" s="1291"/>
      <c r="AA49" s="1092" t="s">
        <v>59</v>
      </c>
      <c r="AB49" s="1291"/>
      <c r="AC49" s="1092" t="s">
        <v>59</v>
      </c>
      <c r="AD49" s="317"/>
      <c r="AE49" s="196"/>
      <c r="AF49" s="317"/>
      <c r="AG49" s="752"/>
      <c r="AH49" s="1291"/>
      <c r="AI49" s="1092" t="s">
        <v>59</v>
      </c>
      <c r="AJ49" s="1293"/>
      <c r="AK49" s="1092" t="s">
        <v>59</v>
      </c>
      <c r="AL49" s="790"/>
      <c r="AM49" s="1309" t="s">
        <v>527</v>
      </c>
      <c r="AN49" s="65" t="e">
        <f ca="1">STRCHECKDATE(V50:AL50)</f>
        <v>#NAME?</v>
      </c>
      <c r="AO49" s="66"/>
      <c r="AP49" s="66" t="str">
        <f t="shared" si="1"/>
        <v/>
      </c>
      <c r="AQ49" s="66"/>
      <c r="AR49" s="66"/>
    </row>
    <row r="50" spans="1:44" ht="0.75" customHeight="1">
      <c r="A50" s="793" t="s">
        <v>184</v>
      </c>
      <c r="B50" s="793" t="s">
        <v>185</v>
      </c>
      <c r="C50" s="793" t="s">
        <v>186</v>
      </c>
      <c r="D50" s="793" t="s">
        <v>187</v>
      </c>
      <c r="E50" s="1288"/>
      <c r="F50" s="1288"/>
      <c r="G50" s="1288"/>
      <c r="H50" s="1288"/>
      <c r="I50" s="1290"/>
      <c r="J50" s="1290"/>
      <c r="K50" s="1289"/>
      <c r="L50" s="794"/>
      <c r="P50" s="1211"/>
      <c r="Q50" s="1211"/>
      <c r="R50" s="215"/>
      <c r="S50" s="62"/>
      <c r="T50" s="170"/>
      <c r="U50" s="170"/>
      <c r="V50" s="196"/>
      <c r="W50" s="196"/>
      <c r="X50" s="196"/>
      <c r="Y50" s="198" t="str">
        <f>Z49&amp;"-"&amp;AB49</f>
        <v>-</v>
      </c>
      <c r="Z50" s="1292"/>
      <c r="AA50" s="1092"/>
      <c r="AB50" s="1292"/>
      <c r="AC50" s="1092"/>
      <c r="AD50" s="196"/>
      <c r="AE50" s="196"/>
      <c r="AF50" s="196"/>
      <c r="AG50" s="198" t="str">
        <f>AH49&amp;"-"&amp;AJ49</f>
        <v>-</v>
      </c>
      <c r="AH50" s="1292"/>
      <c r="AI50" s="1092"/>
      <c r="AJ50" s="1294"/>
      <c r="AK50" s="1092"/>
      <c r="AL50" s="791"/>
      <c r="AM50" s="1310"/>
      <c r="AO50" s="66"/>
      <c r="AP50" s="66" t="str">
        <f t="shared" si="1"/>
        <v/>
      </c>
      <c r="AQ50" s="66"/>
      <c r="AR50" s="66"/>
    </row>
    <row r="51" spans="1:44" ht="11.25" customHeight="1">
      <c r="A51" s="793" t="s">
        <v>184</v>
      </c>
      <c r="B51" s="793" t="s">
        <v>185</v>
      </c>
      <c r="C51" s="793" t="s">
        <v>186</v>
      </c>
      <c r="D51" s="793" t="s">
        <v>187</v>
      </c>
      <c r="E51" s="1288"/>
      <c r="F51" s="1288"/>
      <c r="G51" s="1288"/>
      <c r="H51" s="1288"/>
      <c r="I51" s="1290"/>
      <c r="J51" s="1289"/>
      <c r="K51" s="793"/>
      <c r="L51" s="794"/>
      <c r="P51" s="1211"/>
      <c r="Q51" s="1211"/>
      <c r="R51" s="214"/>
      <c r="S51" s="767"/>
      <c r="T51" s="165" t="s">
        <v>485</v>
      </c>
      <c r="U51" s="221"/>
      <c r="V51" s="221"/>
      <c r="W51" s="221"/>
      <c r="X51" s="221"/>
      <c r="Y51" s="221"/>
      <c r="Z51" s="221"/>
      <c r="AA51" s="221"/>
      <c r="AB51" s="221"/>
      <c r="AC51" s="221"/>
      <c r="AD51" s="221"/>
      <c r="AE51" s="221"/>
      <c r="AF51" s="221"/>
      <c r="AG51" s="221"/>
      <c r="AH51" s="221"/>
      <c r="AI51" s="221"/>
      <c r="AJ51" s="221"/>
      <c r="AK51" s="221"/>
      <c r="AL51" s="195"/>
      <c r="AM51" s="1311"/>
      <c r="AO51" s="66"/>
      <c r="AP51" s="66" t="str">
        <f t="shared" si="1"/>
        <v>Добавить вид теплоносителя (параметры теплоносителя)</v>
      </c>
      <c r="AQ51" s="66"/>
      <c r="AR51" s="66"/>
    </row>
    <row r="52" spans="1:44" ht="11.25" customHeight="1">
      <c r="A52" s="793" t="s">
        <v>184</v>
      </c>
      <c r="B52" s="793" t="s">
        <v>185</v>
      </c>
      <c r="C52" s="793" t="s">
        <v>186</v>
      </c>
      <c r="D52" s="793" t="s">
        <v>187</v>
      </c>
      <c r="E52" s="1288"/>
      <c r="F52" s="1288"/>
      <c r="G52" s="1288"/>
      <c r="H52" s="1288"/>
      <c r="I52" s="1289"/>
      <c r="J52" s="793"/>
      <c r="K52" s="793"/>
      <c r="L52" s="794"/>
      <c r="P52" s="1211"/>
      <c r="Q52" s="119"/>
      <c r="R52" s="214"/>
      <c r="S52" s="767"/>
      <c r="T52" s="219" t="s">
        <v>486</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3" t="s">
        <v>184</v>
      </c>
      <c r="B53" s="793" t="s">
        <v>185</v>
      </c>
      <c r="C53" s="793" t="s">
        <v>186</v>
      </c>
      <c r="D53" s="793" t="s">
        <v>187</v>
      </c>
      <c r="E53" s="1288"/>
      <c r="F53" s="1288"/>
      <c r="G53" s="1288"/>
      <c r="H53" s="1287"/>
      <c r="I53" s="793"/>
      <c r="J53" s="793"/>
      <c r="K53" s="793"/>
      <c r="L53" s="794"/>
      <c r="M53" s="433"/>
      <c r="N53" s="433"/>
      <c r="O53" s="60"/>
      <c r="P53" s="2"/>
      <c r="Q53" s="224"/>
      <c r="R53" s="213"/>
      <c r="S53" s="806"/>
      <c r="T53" s="807"/>
      <c r="U53" s="808"/>
      <c r="V53" s="808"/>
      <c r="W53" s="808"/>
      <c r="X53" s="808"/>
      <c r="Y53" s="808"/>
      <c r="Z53" s="808"/>
      <c r="AA53" s="808"/>
      <c r="AB53" s="808"/>
      <c r="AC53" s="808"/>
      <c r="AD53" s="808"/>
      <c r="AE53" s="808"/>
      <c r="AF53" s="808"/>
      <c r="AG53" s="808"/>
      <c r="AH53" s="808"/>
      <c r="AI53" s="808"/>
      <c r="AJ53" s="808"/>
      <c r="AK53" s="808"/>
      <c r="AL53" s="808"/>
      <c r="AM53" s="809"/>
      <c r="AO53" s="66"/>
      <c r="AP53" s="66" t="str">
        <f t="shared" si="1"/>
        <v/>
      </c>
      <c r="AQ53" s="66"/>
      <c r="AR53" s="66"/>
    </row>
    <row r="54" spans="1:44" s="65" customFormat="1" ht="0.75" customHeight="1">
      <c r="A54" s="142" t="s">
        <v>184</v>
      </c>
      <c r="B54" s="142" t="s">
        <v>185</v>
      </c>
      <c r="C54" s="142" t="s">
        <v>186</v>
      </c>
      <c r="D54" s="142"/>
      <c r="E54" s="1288"/>
      <c r="F54" s="1288"/>
      <c r="G54" s="1287"/>
      <c r="H54" s="142"/>
      <c r="I54" s="142"/>
      <c r="J54" s="142"/>
      <c r="K54" s="142"/>
      <c r="L54" s="355"/>
      <c r="M54" s="304"/>
      <c r="N54" s="304"/>
      <c r="P54" s="101"/>
      <c r="Q54" s="780"/>
      <c r="R54" s="101"/>
      <c r="S54" s="785"/>
      <c r="T54" s="787" t="s">
        <v>444</v>
      </c>
      <c r="U54" s="323"/>
      <c r="V54" s="323"/>
      <c r="W54" s="323"/>
      <c r="X54" s="323"/>
      <c r="Y54" s="323"/>
      <c r="Z54" s="323"/>
      <c r="AA54" s="323"/>
      <c r="AB54" s="323"/>
      <c r="AC54" s="323"/>
      <c r="AD54" s="323"/>
      <c r="AE54" s="323"/>
      <c r="AF54" s="323"/>
      <c r="AG54" s="323"/>
      <c r="AH54" s="323"/>
      <c r="AI54" s="323"/>
      <c r="AJ54" s="323"/>
      <c r="AK54" s="323"/>
      <c r="AL54" s="323"/>
      <c r="AM54" s="323"/>
      <c r="AO54" s="66"/>
      <c r="AP54" s="66" t="str">
        <f t="shared" si="1"/>
        <v>Добавить источник для дифференциации</v>
      </c>
      <c r="AQ54" s="66"/>
      <c r="AR54" s="66"/>
    </row>
    <row r="55" spans="1:44" s="65" customFormat="1" ht="0.75" customHeight="1">
      <c r="A55" s="142" t="s">
        <v>184</v>
      </c>
      <c r="B55" s="142" t="s">
        <v>185</v>
      </c>
      <c r="C55" s="142"/>
      <c r="D55" s="142"/>
      <c r="E55" s="1288"/>
      <c r="F55" s="1287"/>
      <c r="G55" s="142"/>
      <c r="H55" s="142"/>
      <c r="I55" s="142"/>
      <c r="J55" s="142"/>
      <c r="K55" s="142"/>
      <c r="L55" s="355"/>
      <c r="M55" s="784"/>
      <c r="N55" s="784"/>
      <c r="P55" s="101"/>
      <c r="Q55" s="780"/>
      <c r="R55" s="101"/>
      <c r="S55" s="785"/>
      <c r="T55" s="787" t="s">
        <v>445</v>
      </c>
      <c r="U55" s="323"/>
      <c r="V55" s="323"/>
      <c r="W55" s="323"/>
      <c r="X55" s="323"/>
      <c r="Y55" s="323"/>
      <c r="Z55" s="323"/>
      <c r="AA55" s="323"/>
      <c r="AB55" s="323"/>
      <c r="AC55" s="323"/>
      <c r="AD55" s="323"/>
      <c r="AE55" s="323"/>
      <c r="AF55" s="323"/>
      <c r="AG55" s="323"/>
      <c r="AH55" s="323"/>
      <c r="AI55" s="323"/>
      <c r="AJ55" s="323"/>
      <c r="AK55" s="323"/>
      <c r="AL55" s="323"/>
      <c r="AM55" s="323"/>
      <c r="AO55" s="66"/>
      <c r="AP55" s="66" t="str">
        <f t="shared" si="1"/>
        <v>Добавить централизованную систему для дифференциации</v>
      </c>
      <c r="AQ55" s="66"/>
      <c r="AR55" s="66"/>
    </row>
    <row r="56" spans="1:44" s="65" customFormat="1" ht="0.75" customHeight="1">
      <c r="A56" s="142" t="s">
        <v>184</v>
      </c>
      <c r="B56" s="142"/>
      <c r="C56" s="142"/>
      <c r="D56" s="142"/>
      <c r="E56" s="1287"/>
      <c r="F56" s="142"/>
      <c r="G56" s="142"/>
      <c r="H56" s="142"/>
      <c r="I56" s="142"/>
      <c r="J56" s="142"/>
      <c r="K56" s="142"/>
      <c r="L56" s="355"/>
      <c r="M56" s="784"/>
      <c r="N56" s="784"/>
      <c r="P56" s="101"/>
      <c r="Q56" s="780"/>
      <c r="R56" s="101"/>
      <c r="S56" s="785"/>
      <c r="T56" s="787" t="s">
        <v>446</v>
      </c>
      <c r="U56" s="323"/>
      <c r="V56" s="323"/>
      <c r="W56" s="323"/>
      <c r="X56" s="323"/>
      <c r="Y56" s="323"/>
      <c r="Z56" s="323"/>
      <c r="AA56" s="323"/>
      <c r="AB56" s="323"/>
      <c r="AC56" s="323"/>
      <c r="AD56" s="323"/>
      <c r="AE56" s="323"/>
      <c r="AF56" s="323"/>
      <c r="AG56" s="323"/>
      <c r="AH56" s="323"/>
      <c r="AI56" s="323"/>
      <c r="AJ56" s="323"/>
      <c r="AK56" s="323"/>
      <c r="AL56" s="323"/>
      <c r="AM56" s="323"/>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4"/>
      <c r="N57" s="784"/>
      <c r="P57" s="101"/>
      <c r="Q57" s="780"/>
      <c r="R57" s="101"/>
      <c r="S57" s="785"/>
      <c r="T57" s="787" t="s">
        <v>447</v>
      </c>
      <c r="U57" s="323"/>
      <c r="V57" s="323"/>
      <c r="W57" s="323"/>
      <c r="X57" s="323"/>
      <c r="Y57" s="323"/>
      <c r="Z57" s="323"/>
      <c r="AA57" s="323"/>
      <c r="AB57" s="323"/>
      <c r="AC57" s="323"/>
      <c r="AD57" s="323"/>
      <c r="AE57" s="323"/>
      <c r="AF57" s="323"/>
      <c r="AG57" s="323"/>
      <c r="AH57" s="323"/>
      <c r="AI57" s="323"/>
      <c r="AJ57" s="323"/>
      <c r="AK57" s="323"/>
      <c r="AL57" s="323"/>
      <c r="AM57" s="323"/>
      <c r="AO57" s="66"/>
      <c r="AP57" s="66" t="str">
        <f t="shared" si="1"/>
        <v>Добавить наименование тарифа</v>
      </c>
      <c r="AQ57" s="66"/>
      <c r="AR57" s="66"/>
    </row>
    <row r="58" spans="1:44" ht="11.25" hidden="1" customHeight="1">
      <c r="M58" s="60"/>
      <c r="N58" s="60"/>
      <c r="O58" s="60"/>
      <c r="P58" s="9"/>
      <c r="Q58" s="9"/>
      <c r="R58" s="9"/>
      <c r="S58" s="9"/>
      <c r="AN58" s="9"/>
      <c r="AO58" s="9"/>
      <c r="AP58" s="9"/>
      <c r="AQ58" s="9"/>
      <c r="AR58" s="9"/>
    </row>
    <row r="59" spans="1:44" ht="18.75" hidden="1" customHeight="1">
      <c r="O59" s="60"/>
      <c r="S59" s="204" t="s">
        <v>519</v>
      </c>
      <c r="T59" s="1286" t="s">
        <v>528</v>
      </c>
      <c r="U59" s="1286"/>
      <c r="V59" s="1286"/>
      <c r="W59" s="1286"/>
      <c r="X59" s="1286"/>
      <c r="Y59" s="1286"/>
      <c r="Z59" s="1286"/>
      <c r="AA59" s="1286"/>
      <c r="AB59" s="1286"/>
      <c r="AC59" s="1286"/>
      <c r="AD59" s="1286"/>
      <c r="AE59" s="1286"/>
      <c r="AF59" s="1286"/>
      <c r="AG59" s="1286"/>
      <c r="AH59" s="1286"/>
      <c r="AI59" s="1286"/>
      <c r="AJ59" s="1286"/>
      <c r="AK59" s="1286"/>
      <c r="AL59" s="1286"/>
      <c r="AM59" s="1286"/>
    </row>
    <row r="60" spans="1:44" ht="27.75" hidden="1" customHeight="1">
      <c r="O60" s="60"/>
      <c r="T60" s="1286" t="s">
        <v>529</v>
      </c>
      <c r="U60" s="1286"/>
      <c r="V60" s="1286"/>
      <c r="W60" s="1286"/>
      <c r="X60" s="1286"/>
      <c r="Y60" s="1286"/>
      <c r="Z60" s="1286"/>
      <c r="AA60" s="1286"/>
      <c r="AB60" s="1286"/>
      <c r="AC60" s="1286"/>
      <c r="AD60" s="1286"/>
      <c r="AE60" s="1286"/>
      <c r="AF60" s="1286"/>
      <c r="AG60" s="1286"/>
      <c r="AH60" s="1286"/>
      <c r="AI60" s="1286"/>
      <c r="AJ60" s="1286"/>
      <c r="AK60" s="1286"/>
      <c r="AL60" s="1286"/>
      <c r="AM60" s="1286"/>
    </row>
    <row r="61" spans="1:44" ht="39.75" hidden="1" customHeight="1">
      <c r="O61" s="60"/>
      <c r="T61" s="1286" t="s">
        <v>530</v>
      </c>
      <c r="U61" s="1286"/>
      <c r="V61" s="1286"/>
      <c r="W61" s="1286"/>
      <c r="X61" s="1286"/>
      <c r="Y61" s="1286"/>
      <c r="Z61" s="1286"/>
      <c r="AA61" s="1286"/>
      <c r="AB61" s="1286"/>
      <c r="AC61" s="1286"/>
      <c r="AD61" s="1286"/>
      <c r="AE61" s="1286"/>
      <c r="AF61" s="1286"/>
      <c r="AG61" s="1286"/>
      <c r="AH61" s="1286"/>
      <c r="AI61" s="1286"/>
      <c r="AJ61" s="1286"/>
      <c r="AK61" s="1286"/>
      <c r="AL61" s="1286"/>
      <c r="AM61" s="1286"/>
    </row>
    <row r="62" spans="1:44" ht="14.25" hidden="1" customHeight="1">
      <c r="O62" s="60"/>
    </row>
    <row r="63" spans="1:44" ht="19.5" hidden="1" customHeight="1">
      <c r="O63" s="60"/>
      <c r="S63" s="204" t="s">
        <v>519</v>
      </c>
      <c r="T63" s="1131" t="s">
        <v>522</v>
      </c>
      <c r="U63" s="1286"/>
      <c r="V63" s="1286"/>
      <c r="W63" s="1286"/>
      <c r="X63" s="1286"/>
      <c r="Y63" s="1286"/>
      <c r="Z63" s="1286"/>
      <c r="AA63" s="1286"/>
      <c r="AB63" s="1286"/>
      <c r="AC63" s="1286"/>
      <c r="AD63" s="1286"/>
      <c r="AE63" s="1286"/>
      <c r="AF63" s="1286"/>
      <c r="AG63" s="1286"/>
      <c r="AH63" s="1286"/>
      <c r="AI63" s="1286"/>
      <c r="AJ63" s="1286"/>
      <c r="AK63" s="1286"/>
      <c r="AL63" s="1286"/>
      <c r="AM63" s="1286"/>
    </row>
    <row r="64" spans="1:44" ht="27.75" hidden="1" customHeight="1">
      <c r="O64" s="60"/>
      <c r="T64" s="1286" t="s">
        <v>531</v>
      </c>
      <c r="U64" s="1286"/>
      <c r="V64" s="1286"/>
      <c r="W64" s="1286"/>
      <c r="X64" s="1286"/>
      <c r="Y64" s="1286"/>
      <c r="Z64" s="1286"/>
      <c r="AA64" s="1286"/>
      <c r="AB64" s="1286"/>
      <c r="AC64" s="1286"/>
      <c r="AD64" s="1286"/>
      <c r="AE64" s="1286"/>
      <c r="AF64" s="1286"/>
      <c r="AG64" s="1286"/>
      <c r="AH64" s="1286"/>
      <c r="AI64" s="1286"/>
      <c r="AJ64" s="1286"/>
      <c r="AK64" s="1286"/>
      <c r="AL64" s="1286"/>
      <c r="AM64" s="1286"/>
    </row>
    <row r="65" spans="20:39" ht="33.75" hidden="1" customHeight="1">
      <c r="T65" s="1286" t="s">
        <v>532</v>
      </c>
      <c r="U65" s="1286"/>
      <c r="V65" s="1286"/>
      <c r="W65" s="1286"/>
      <c r="X65" s="1286"/>
      <c r="Y65" s="1286"/>
      <c r="Z65" s="1286"/>
      <c r="AA65" s="1286"/>
      <c r="AB65" s="1286"/>
      <c r="AC65" s="1286"/>
      <c r="AD65" s="1286"/>
      <c r="AE65" s="1286"/>
      <c r="AF65" s="1286"/>
      <c r="AG65" s="1286"/>
      <c r="AH65" s="1286"/>
      <c r="AI65" s="1286"/>
      <c r="AJ65" s="1286"/>
      <c r="AK65" s="1286"/>
      <c r="AL65" s="1286"/>
      <c r="AM65" s="1286"/>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5B3D3-75E6-3D31-34A7-2D8403576BD3}">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19" hidden="1" customWidth="1"/>
    <col min="15" max="15" width="23.42578125" style="519"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3"/>
      <c r="B2" s="793"/>
      <c r="C2" s="793"/>
      <c r="D2" s="793"/>
      <c r="E2" s="1287">
        <v>1</v>
      </c>
      <c r="F2" s="793"/>
      <c r="G2" s="793"/>
      <c r="H2" s="793"/>
      <c r="I2" s="793"/>
      <c r="J2" s="793"/>
      <c r="K2" s="793"/>
      <c r="L2" s="794"/>
      <c r="M2" s="433"/>
      <c r="N2" s="433"/>
      <c r="O2" s="433"/>
      <c r="Q2" s="2"/>
      <c r="R2" s="213"/>
      <c r="S2" s="725" t="e">
        <f>INDEX(PT_DIFFERENTIATION_NUM_NTAR,MATCH(A2,PT_DIFFERENTIATION_NTAR_ID,0))</f>
        <v>#N/A</v>
      </c>
      <c r="T2" s="64" t="s">
        <v>139</v>
      </c>
      <c r="U2" s="170"/>
      <c r="V2" s="1281"/>
      <c r="W2" s="1282"/>
      <c r="X2" s="1282"/>
      <c r="Y2" s="1282"/>
      <c r="Z2" s="1282"/>
      <c r="AA2" s="1282"/>
      <c r="AB2" s="1282"/>
      <c r="AC2" s="1283"/>
      <c r="AD2" s="1281" t="e">
        <f>INDEX(PT_DIFFERENTIATION_NTAR,MATCH(A2,PT_DIFFERENTIATION_NTAR_ID,0))</f>
        <v>#N/A</v>
      </c>
      <c r="AE2" s="1282"/>
      <c r="AF2" s="1282"/>
      <c r="AG2" s="1282"/>
      <c r="AH2" s="1282"/>
      <c r="AI2" s="1282"/>
      <c r="AJ2" s="1282"/>
      <c r="AK2" s="1282"/>
      <c r="AL2" s="1283"/>
      <c r="AM2" s="753" t="s">
        <v>470</v>
      </c>
      <c r="AO2" s="66"/>
      <c r="AP2" s="66" t="str">
        <f t="shared" ref="AP2:AP15" si="0">IF(T2="","",T2)</f>
        <v>Наименование тарифа</v>
      </c>
      <c r="AQ2" s="66"/>
      <c r="AR2" s="66"/>
    </row>
    <row r="3" spans="1:44" ht="21" hidden="1" customHeight="1">
      <c r="A3" s="793"/>
      <c r="B3" s="793"/>
      <c r="C3" s="793"/>
      <c r="D3" s="793"/>
      <c r="E3" s="1288"/>
      <c r="F3" s="1287">
        <v>1</v>
      </c>
      <c r="G3" s="793"/>
      <c r="H3" s="793"/>
      <c r="I3" s="793"/>
      <c r="J3" s="793"/>
      <c r="K3" s="793"/>
      <c r="L3" s="794"/>
      <c r="M3" s="433"/>
      <c r="N3" s="433"/>
      <c r="O3" s="433"/>
      <c r="P3" s="56"/>
      <c r="Q3" s="210"/>
      <c r="R3" s="211"/>
      <c r="S3" s="725" t="e">
        <f>INDEX(PT_DIFFERENTIATION_NUM_TER,MATCH(B3,PT_DIFFERENTIATION_TER_ID,0))</f>
        <v>#N/A</v>
      </c>
      <c r="T3" s="178" t="s">
        <v>471</v>
      </c>
      <c r="U3" s="170"/>
      <c r="V3" s="1281"/>
      <c r="W3" s="1282"/>
      <c r="X3" s="1282"/>
      <c r="Y3" s="1282"/>
      <c r="Z3" s="1282"/>
      <c r="AA3" s="1282"/>
      <c r="AB3" s="1282"/>
      <c r="AC3" s="1283"/>
      <c r="AD3" s="1281" t="e">
        <f>INDEX(PT_DIFFERENTIATION_TER,MATCH(B3,PT_DIFFERENTIATION_TER_ID,0))</f>
        <v>#N/A</v>
      </c>
      <c r="AE3" s="1282"/>
      <c r="AF3" s="1282"/>
      <c r="AG3" s="1282"/>
      <c r="AH3" s="1282"/>
      <c r="AI3" s="1282"/>
      <c r="AJ3" s="1282"/>
      <c r="AK3" s="1282"/>
      <c r="AL3" s="1283"/>
      <c r="AM3" s="753" t="s">
        <v>472</v>
      </c>
      <c r="AO3" s="66"/>
      <c r="AP3" s="66" t="str">
        <f t="shared" si="0"/>
        <v>Территория действия тарифа</v>
      </c>
      <c r="AQ3" s="66"/>
      <c r="AR3" s="66"/>
    </row>
    <row r="4" spans="1:44" ht="23.25" hidden="1" customHeight="1">
      <c r="A4" s="793"/>
      <c r="B4" s="793"/>
      <c r="C4" s="793"/>
      <c r="D4" s="793"/>
      <c r="E4" s="1288"/>
      <c r="F4" s="1288"/>
      <c r="G4" s="1287">
        <v>1</v>
      </c>
      <c r="H4" s="793"/>
      <c r="I4" s="793"/>
      <c r="J4" s="793"/>
      <c r="K4" s="793"/>
      <c r="L4" s="794"/>
      <c r="M4" s="433"/>
      <c r="N4" s="433"/>
      <c r="O4" s="433"/>
      <c r="P4" s="212"/>
      <c r="Q4" s="210"/>
      <c r="R4" s="211"/>
      <c r="S4" s="725" t="e">
        <f>INDEX(PT_DIFFERENTIATION_NUM_CS,MATCH(C4,PT_DIFFERENTIATION_CS_ID,0))</f>
        <v>#N/A</v>
      </c>
      <c r="T4" s="179" t="s">
        <v>473</v>
      </c>
      <c r="U4" s="170"/>
      <c r="V4" s="1281"/>
      <c r="W4" s="1282"/>
      <c r="X4" s="1282"/>
      <c r="Y4" s="1282"/>
      <c r="Z4" s="1282"/>
      <c r="AA4" s="1282"/>
      <c r="AB4" s="1282"/>
      <c r="AC4" s="1283"/>
      <c r="AD4" s="1281" t="e">
        <f>INDEX(PT_DIFFERENTIATION_CS,MATCH(C4,PT_DIFFERENTIATION_CS_ID,0))</f>
        <v>#N/A</v>
      </c>
      <c r="AE4" s="1282"/>
      <c r="AF4" s="1282"/>
      <c r="AG4" s="1282"/>
      <c r="AH4" s="1282"/>
      <c r="AI4" s="1282"/>
      <c r="AJ4" s="1282"/>
      <c r="AK4" s="1282"/>
      <c r="AL4" s="1283"/>
      <c r="AM4" s="753" t="s">
        <v>474</v>
      </c>
      <c r="AO4" s="66"/>
      <c r="AP4" s="66" t="str">
        <f t="shared" si="0"/>
        <v xml:space="preserve">Наименование системы теплоснабжения </v>
      </c>
      <c r="AQ4" s="66"/>
      <c r="AR4" s="66"/>
    </row>
    <row r="5" spans="1:44" ht="21" hidden="1" customHeight="1">
      <c r="A5" s="793"/>
      <c r="B5" s="793"/>
      <c r="C5" s="793"/>
      <c r="D5" s="793"/>
      <c r="E5" s="1288"/>
      <c r="F5" s="1288"/>
      <c r="G5" s="1288"/>
      <c r="H5" s="1287">
        <v>1</v>
      </c>
      <c r="I5" s="793"/>
      <c r="J5" s="793"/>
      <c r="K5" s="793"/>
      <c r="L5" s="794"/>
      <c r="M5" s="433"/>
      <c r="N5" s="433"/>
      <c r="O5" s="433"/>
      <c r="P5" s="212"/>
      <c r="Q5" s="210"/>
      <c r="R5" s="211"/>
      <c r="S5" s="725" t="e">
        <f>INDEX(PT_DIFFERENTIATION_NUM_IST_TE,MATCH(D5,PT_DIFFERENTIATION_IST_TE_ID,0))</f>
        <v>#N/A</v>
      </c>
      <c r="T5" s="180" t="s">
        <v>475</v>
      </c>
      <c r="U5" s="170"/>
      <c r="V5" s="1281"/>
      <c r="W5" s="1282"/>
      <c r="X5" s="1282"/>
      <c r="Y5" s="1282"/>
      <c r="Z5" s="1282"/>
      <c r="AA5" s="1282"/>
      <c r="AB5" s="1282"/>
      <c r="AC5" s="1283"/>
      <c r="AD5" s="1281" t="e">
        <f>INDEX(PT_DIFFERENTIATION_IST_TE,MATCH(D5,PT_DIFFERENTIATION_IST_TE_ID,0))</f>
        <v>#N/A</v>
      </c>
      <c r="AE5" s="1282"/>
      <c r="AF5" s="1282"/>
      <c r="AG5" s="1282"/>
      <c r="AH5" s="1282"/>
      <c r="AI5" s="1282"/>
      <c r="AJ5" s="1282"/>
      <c r="AK5" s="1282"/>
      <c r="AL5" s="1283"/>
      <c r="AM5" s="753" t="s">
        <v>476</v>
      </c>
      <c r="AO5" s="66"/>
      <c r="AP5" s="66" t="str">
        <f t="shared" si="0"/>
        <v xml:space="preserve">Источник тепловой энергии  </v>
      </c>
      <c r="AQ5" s="66"/>
      <c r="AR5" s="66"/>
    </row>
    <row r="6" spans="1:44" ht="14.25" hidden="1" customHeight="1">
      <c r="A6" s="793"/>
      <c r="B6" s="793"/>
      <c r="C6" s="793"/>
      <c r="D6" s="793"/>
      <c r="E6" s="1288"/>
      <c r="F6" s="1288"/>
      <c r="G6" s="1288"/>
      <c r="H6" s="1288"/>
      <c r="I6" s="1289" t="e">
        <f>S5&amp;".1"</f>
        <v>#N/A</v>
      </c>
      <c r="J6" s="793"/>
      <c r="K6" s="793"/>
      <c r="L6" s="794" t="s">
        <v>477</v>
      </c>
      <c r="M6" s="60"/>
      <c r="P6" s="1211">
        <v>1</v>
      </c>
      <c r="Q6" s="119"/>
      <c r="R6" s="214"/>
      <c r="S6" s="371"/>
      <c r="T6" s="803"/>
      <c r="U6" s="804"/>
      <c r="V6" s="1316"/>
      <c r="W6" s="1317"/>
      <c r="X6" s="1317"/>
      <c r="Y6" s="1317"/>
      <c r="Z6" s="1317"/>
      <c r="AA6" s="1317"/>
      <c r="AB6" s="1317"/>
      <c r="AC6" s="1318"/>
      <c r="AD6" s="1316"/>
      <c r="AE6" s="1317"/>
      <c r="AF6" s="1317"/>
      <c r="AG6" s="1317"/>
      <c r="AH6" s="1317"/>
      <c r="AI6" s="1317"/>
      <c r="AJ6" s="1317"/>
      <c r="AK6" s="1317"/>
      <c r="AL6" s="1318"/>
      <c r="AM6" s="805"/>
      <c r="AO6" s="66"/>
      <c r="AP6" s="66" t="str">
        <f t="shared" si="0"/>
        <v/>
      </c>
      <c r="AQ6" s="66"/>
      <c r="AR6" s="66"/>
    </row>
    <row r="7" spans="1:44" ht="21" hidden="1" customHeight="1">
      <c r="A7" s="793"/>
      <c r="B7" s="793"/>
      <c r="C7" s="793"/>
      <c r="D7" s="793"/>
      <c r="E7" s="1288"/>
      <c r="F7" s="1288"/>
      <c r="G7" s="1288"/>
      <c r="H7" s="1288"/>
      <c r="I7" s="1290"/>
      <c r="J7" s="1289" t="e">
        <f>I6&amp;".1"</f>
        <v>#N/A</v>
      </c>
      <c r="K7" s="793"/>
      <c r="L7" s="794" t="s">
        <v>480</v>
      </c>
      <c r="M7" s="60"/>
      <c r="N7" s="60"/>
      <c r="P7" s="1211"/>
      <c r="Q7" s="1211">
        <v>1</v>
      </c>
      <c r="R7" s="215"/>
      <c r="S7" s="725" t="e">
        <f>$J7</f>
        <v>#N/A</v>
      </c>
      <c r="T7" s="164" t="s">
        <v>481</v>
      </c>
      <c r="U7" s="170"/>
      <c r="V7" s="1275"/>
      <c r="W7" s="1276"/>
      <c r="X7" s="1276"/>
      <c r="Y7" s="1276"/>
      <c r="Z7" s="1276"/>
      <c r="AA7" s="1276"/>
      <c r="AB7" s="1276"/>
      <c r="AC7" s="1277"/>
      <c r="AD7" s="1275"/>
      <c r="AE7" s="1276"/>
      <c r="AF7" s="1276"/>
      <c r="AG7" s="1276"/>
      <c r="AH7" s="1276"/>
      <c r="AI7" s="1276"/>
      <c r="AJ7" s="1276"/>
      <c r="AK7" s="1276"/>
      <c r="AL7" s="1277"/>
      <c r="AM7" s="753" t="s">
        <v>482</v>
      </c>
      <c r="AO7" s="66"/>
      <c r="AP7" s="66" t="str">
        <f t="shared" si="0"/>
        <v>Группа потребителей</v>
      </c>
      <c r="AQ7" s="66"/>
      <c r="AR7" s="66"/>
    </row>
    <row r="8" spans="1:44" ht="21" hidden="1" customHeight="1">
      <c r="A8" s="793"/>
      <c r="B8" s="793"/>
      <c r="C8" s="793"/>
      <c r="D8" s="793"/>
      <c r="E8" s="1288"/>
      <c r="F8" s="1288"/>
      <c r="G8" s="1288"/>
      <c r="H8" s="1288"/>
      <c r="I8" s="1290"/>
      <c r="J8" s="1290"/>
      <c r="K8" s="1289" t="e">
        <f>J7&amp;".1"</f>
        <v>#N/A</v>
      </c>
      <c r="L8" s="794" t="s">
        <v>483</v>
      </c>
      <c r="M8" s="60"/>
      <c r="N8" s="60"/>
      <c r="O8" s="60"/>
      <c r="P8" s="1211"/>
      <c r="Q8" s="1211"/>
      <c r="R8" s="215">
        <v>1</v>
      </c>
      <c r="S8" s="725" t="e">
        <f>$K8</f>
        <v>#N/A</v>
      </c>
      <c r="T8" s="789"/>
      <c r="U8" s="170"/>
      <c r="V8" s="317"/>
      <c r="W8" s="196"/>
      <c r="X8" s="317"/>
      <c r="Y8" s="752"/>
      <c r="Z8" s="1291"/>
      <c r="AA8" s="1092" t="s">
        <v>59</v>
      </c>
      <c r="AB8" s="1291"/>
      <c r="AC8" s="1092" t="s">
        <v>59</v>
      </c>
      <c r="AD8" s="317"/>
      <c r="AE8" s="196"/>
      <c r="AF8" s="317"/>
      <c r="AG8" s="752"/>
      <c r="AH8" s="1291"/>
      <c r="AI8" s="1092" t="s">
        <v>59</v>
      </c>
      <c r="AJ8" s="1291"/>
      <c r="AK8" s="1092" t="s">
        <v>59</v>
      </c>
      <c r="AL8" s="196"/>
      <c r="AM8" s="1309" t="s">
        <v>484</v>
      </c>
      <c r="AN8" s="65" t="e">
        <f ca="1">STRCHECKDATE(V9:AL9)</f>
        <v>#NAME?</v>
      </c>
      <c r="AO8" s="66"/>
      <c r="AP8" s="66" t="str">
        <f t="shared" si="0"/>
        <v/>
      </c>
      <c r="AQ8" s="66"/>
      <c r="AR8" s="66"/>
    </row>
    <row r="9" spans="1:44" ht="14.25" hidden="1" customHeight="1">
      <c r="A9" s="793"/>
      <c r="B9" s="793"/>
      <c r="C9" s="793"/>
      <c r="D9" s="793"/>
      <c r="E9" s="1288"/>
      <c r="F9" s="1288"/>
      <c r="G9" s="1288"/>
      <c r="H9" s="1288"/>
      <c r="I9" s="1290"/>
      <c r="J9" s="1290"/>
      <c r="K9" s="1289"/>
      <c r="L9" s="794"/>
      <c r="M9" s="60"/>
      <c r="N9" s="60"/>
      <c r="O9" s="60"/>
      <c r="P9" s="1211"/>
      <c r="Q9" s="1211"/>
      <c r="R9" s="215"/>
      <c r="S9" s="62"/>
      <c r="T9" s="170"/>
      <c r="U9" s="170"/>
      <c r="V9" s="196"/>
      <c r="W9" s="196"/>
      <c r="X9" s="196"/>
      <c r="Y9" s="198" t="str">
        <f>Z8&amp;"-"&amp;AB8</f>
        <v>-</v>
      </c>
      <c r="Z9" s="1292"/>
      <c r="AA9" s="1092"/>
      <c r="AB9" s="1292"/>
      <c r="AC9" s="1092"/>
      <c r="AD9" s="196"/>
      <c r="AE9" s="196"/>
      <c r="AF9" s="196"/>
      <c r="AG9" s="198" t="str">
        <f>AH8&amp;"-"&amp;AJ8</f>
        <v>-</v>
      </c>
      <c r="AH9" s="1292"/>
      <c r="AI9" s="1092"/>
      <c r="AJ9" s="1292"/>
      <c r="AK9" s="1092"/>
      <c r="AL9" s="196"/>
      <c r="AM9" s="1310"/>
      <c r="AO9" s="66"/>
      <c r="AP9" s="66" t="str">
        <f t="shared" si="0"/>
        <v/>
      </c>
      <c r="AQ9" s="66"/>
      <c r="AR9" s="66"/>
    </row>
    <row r="10" spans="1:44" ht="15" hidden="1" customHeight="1">
      <c r="A10" s="793"/>
      <c r="B10" s="793"/>
      <c r="C10" s="793"/>
      <c r="D10" s="793"/>
      <c r="E10" s="1288"/>
      <c r="F10" s="1288"/>
      <c r="G10" s="1288"/>
      <c r="H10" s="1288"/>
      <c r="I10" s="1290"/>
      <c r="J10" s="1289"/>
      <c r="K10" s="793"/>
      <c r="L10" s="794"/>
      <c r="M10" s="60"/>
      <c r="N10" s="60"/>
      <c r="P10" s="1211"/>
      <c r="Q10" s="1211"/>
      <c r="R10" s="214"/>
      <c r="S10" s="767"/>
      <c r="T10" s="165" t="s">
        <v>485</v>
      </c>
      <c r="U10" s="221"/>
      <c r="V10" s="221"/>
      <c r="W10" s="221"/>
      <c r="X10" s="221"/>
      <c r="Y10" s="221"/>
      <c r="Z10" s="221"/>
      <c r="AA10" s="221"/>
      <c r="AB10" s="221"/>
      <c r="AC10" s="221"/>
      <c r="AD10" s="221"/>
      <c r="AE10" s="221"/>
      <c r="AF10" s="221"/>
      <c r="AG10" s="221"/>
      <c r="AH10" s="221"/>
      <c r="AI10" s="221"/>
      <c r="AJ10" s="221"/>
      <c r="AK10" s="221"/>
      <c r="AL10" s="195"/>
      <c r="AM10" s="1311"/>
      <c r="AO10" s="66"/>
      <c r="AP10" s="66" t="str">
        <f t="shared" si="0"/>
        <v>Добавить вид теплоносителя (параметры теплоносителя)</v>
      </c>
      <c r="AQ10" s="66"/>
      <c r="AR10" s="66"/>
    </row>
    <row r="11" spans="1:44" ht="11.25" hidden="1" customHeight="1">
      <c r="A11" s="793"/>
      <c r="B11" s="793"/>
      <c r="C11" s="793"/>
      <c r="D11" s="793"/>
      <c r="E11" s="1288"/>
      <c r="F11" s="1288"/>
      <c r="G11" s="1288"/>
      <c r="H11" s="1288"/>
      <c r="I11" s="1289"/>
      <c r="J11" s="793"/>
      <c r="K11" s="793"/>
      <c r="L11" s="794"/>
      <c r="M11" s="60"/>
      <c r="P11" s="1211"/>
      <c r="Q11" s="119"/>
      <c r="R11" s="214"/>
      <c r="S11" s="767"/>
      <c r="T11" s="219" t="s">
        <v>486</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3"/>
      <c r="B12" s="793"/>
      <c r="C12" s="793"/>
      <c r="D12" s="793"/>
      <c r="E12" s="1288"/>
      <c r="F12" s="1288"/>
      <c r="G12" s="1288"/>
      <c r="H12" s="1287"/>
      <c r="I12" s="793"/>
      <c r="J12" s="793"/>
      <c r="K12" s="793"/>
      <c r="L12" s="794"/>
      <c r="M12" s="433"/>
      <c r="N12" s="433"/>
      <c r="O12" s="60"/>
      <c r="P12" s="2"/>
      <c r="Q12" s="224"/>
      <c r="R12" s="213"/>
      <c r="S12" s="806"/>
      <c r="T12" s="807"/>
      <c r="U12" s="808"/>
      <c r="V12" s="808"/>
      <c r="W12" s="808"/>
      <c r="X12" s="808"/>
      <c r="Y12" s="808"/>
      <c r="Z12" s="808"/>
      <c r="AA12" s="808"/>
      <c r="AB12" s="808"/>
      <c r="AC12" s="808"/>
      <c r="AD12" s="808"/>
      <c r="AE12" s="808"/>
      <c r="AF12" s="808"/>
      <c r="AG12" s="808"/>
      <c r="AH12" s="808"/>
      <c r="AI12" s="808"/>
      <c r="AJ12" s="808"/>
      <c r="AK12" s="808"/>
      <c r="AL12" s="808"/>
      <c r="AM12" s="809"/>
      <c r="AO12" s="66"/>
      <c r="AP12" s="66" t="str">
        <f t="shared" si="0"/>
        <v/>
      </c>
      <c r="AQ12" s="66"/>
      <c r="AR12" s="66"/>
    </row>
    <row r="13" spans="1:44" s="65" customFormat="1" ht="14.25" hidden="1" customHeight="1">
      <c r="A13" s="142"/>
      <c r="B13" s="142"/>
      <c r="C13" s="142"/>
      <c r="D13" s="142"/>
      <c r="E13" s="1288"/>
      <c r="F13" s="1288"/>
      <c r="G13" s="1287"/>
      <c r="H13" s="142"/>
      <c r="I13" s="142"/>
      <c r="J13" s="142"/>
      <c r="K13" s="142"/>
      <c r="L13" s="355"/>
      <c r="M13" s="304"/>
      <c r="N13" s="304"/>
      <c r="P13" s="101"/>
      <c r="Q13" s="780"/>
      <c r="R13" s="101"/>
      <c r="S13" s="781"/>
      <c r="T13" s="782" t="s">
        <v>444</v>
      </c>
      <c r="U13" s="783"/>
      <c r="V13" s="783"/>
      <c r="W13" s="783"/>
      <c r="X13" s="783"/>
      <c r="Y13" s="783"/>
      <c r="Z13" s="783"/>
      <c r="AA13" s="783"/>
      <c r="AB13" s="783"/>
      <c r="AC13" s="783"/>
      <c r="AD13" s="783"/>
      <c r="AE13" s="783"/>
      <c r="AF13" s="783"/>
      <c r="AG13" s="783"/>
      <c r="AH13" s="783"/>
      <c r="AI13" s="783"/>
      <c r="AJ13" s="783"/>
      <c r="AK13" s="783"/>
      <c r="AL13" s="783"/>
      <c r="AM13" s="783"/>
      <c r="AO13" s="66"/>
      <c r="AP13" s="66" t="str">
        <f t="shared" si="0"/>
        <v>Добавить источник для дифференциации</v>
      </c>
      <c r="AQ13" s="66"/>
      <c r="AR13" s="66"/>
    </row>
    <row r="14" spans="1:44" s="65" customFormat="1" ht="14.25" hidden="1" customHeight="1">
      <c r="A14" s="142"/>
      <c r="B14" s="142"/>
      <c r="C14" s="142"/>
      <c r="D14" s="142"/>
      <c r="E14" s="1288"/>
      <c r="F14" s="1287"/>
      <c r="G14" s="142"/>
      <c r="H14" s="142"/>
      <c r="I14" s="142"/>
      <c r="J14" s="142"/>
      <c r="K14" s="142"/>
      <c r="L14" s="355"/>
      <c r="M14" s="784"/>
      <c r="N14" s="784"/>
      <c r="P14" s="101"/>
      <c r="Q14" s="780"/>
      <c r="R14" s="101"/>
      <c r="S14" s="785"/>
      <c r="T14" s="786" t="s">
        <v>445</v>
      </c>
      <c r="U14" s="323"/>
      <c r="V14" s="323"/>
      <c r="W14" s="323"/>
      <c r="X14" s="323"/>
      <c r="Y14" s="323"/>
      <c r="Z14" s="323"/>
      <c r="AA14" s="323"/>
      <c r="AB14" s="323"/>
      <c r="AC14" s="323"/>
      <c r="AD14" s="323"/>
      <c r="AE14" s="323"/>
      <c r="AF14" s="323"/>
      <c r="AG14" s="323"/>
      <c r="AH14" s="323"/>
      <c r="AI14" s="323"/>
      <c r="AJ14" s="323"/>
      <c r="AK14" s="323"/>
      <c r="AL14" s="323"/>
      <c r="AM14" s="323"/>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87"/>
      <c r="F15" s="142"/>
      <c r="G15" s="142"/>
      <c r="H15" s="142"/>
      <c r="I15" s="142"/>
      <c r="J15" s="142"/>
      <c r="K15" s="142"/>
      <c r="L15" s="355"/>
      <c r="M15" s="784"/>
      <c r="N15" s="784"/>
      <c r="P15" s="101"/>
      <c r="Q15" s="780"/>
      <c r="R15" s="101"/>
      <c r="S15" s="785"/>
      <c r="T15" s="787" t="s">
        <v>446</v>
      </c>
      <c r="U15" s="323"/>
      <c r="V15" s="323"/>
      <c r="W15" s="323"/>
      <c r="X15" s="323"/>
      <c r="Y15" s="323"/>
      <c r="Z15" s="323"/>
      <c r="AA15" s="323"/>
      <c r="AB15" s="323"/>
      <c r="AC15" s="323"/>
      <c r="AD15" s="323"/>
      <c r="AE15" s="323"/>
      <c r="AF15" s="323"/>
      <c r="AG15" s="323"/>
      <c r="AH15" s="323"/>
      <c r="AI15" s="323"/>
      <c r="AJ15" s="323"/>
      <c r="AK15" s="323"/>
      <c r="AL15" s="323"/>
      <c r="AM15" s="323"/>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2"/>
      <c r="AH17" s="1285"/>
      <c r="AI17" s="1284" t="s">
        <v>59</v>
      </c>
      <c r="AJ17" s="1285"/>
      <c r="AK17" s="1284" t="s">
        <v>59</v>
      </c>
    </row>
    <row r="18" spans="1:44" ht="14.25" hidden="1" customHeight="1">
      <c r="AD18" s="376"/>
      <c r="AE18" s="376"/>
      <c r="AF18" s="376"/>
      <c r="AG18" s="198" t="str">
        <f>AH17&amp;"-"&amp;AJ17</f>
        <v>-</v>
      </c>
      <c r="AH18" s="1284"/>
      <c r="AI18" s="1284"/>
      <c r="AJ18" s="1284"/>
      <c r="AK18" s="1284"/>
    </row>
    <row r="19" spans="1:44" ht="14.25" hidden="1" customHeight="1"/>
    <row r="20" spans="1:44" s="60" customFormat="1" ht="22.5" hidden="1" customHeight="1">
      <c r="L20" s="312"/>
      <c r="M20" s="519"/>
      <c r="N20" s="519"/>
      <c r="O20" s="795" t="s">
        <v>488</v>
      </c>
      <c r="P20" s="519"/>
      <c r="Q20" s="796"/>
      <c r="R20" s="796"/>
      <c r="S20" s="433"/>
      <c r="Z20" s="795"/>
      <c r="AB20" s="795"/>
      <c r="AH20" s="795"/>
      <c r="AJ20" s="795"/>
      <c r="AN20" s="65"/>
      <c r="AO20" s="65"/>
      <c r="AP20" s="65"/>
      <c r="AQ20" s="65"/>
      <c r="AR20" s="65"/>
    </row>
    <row r="21" spans="1:44" s="60" customFormat="1" ht="14.25" hidden="1" customHeight="1">
      <c r="L21" s="312"/>
      <c r="M21" s="519"/>
      <c r="N21" s="519"/>
      <c r="O21" s="519"/>
      <c r="P21" s="519"/>
      <c r="Q21" s="796"/>
      <c r="R21" s="796"/>
      <c r="S21" s="433"/>
      <c r="AN21" s="65"/>
      <c r="AO21" s="65"/>
      <c r="AP21" s="65"/>
      <c r="AQ21" s="65"/>
      <c r="AR21" s="65"/>
    </row>
    <row r="22" spans="1:44" s="60" customFormat="1" ht="14.25" hidden="1" customHeight="1">
      <c r="L22" s="312"/>
      <c r="M22" s="519"/>
      <c r="N22" s="519"/>
      <c r="O22" s="794" t="s">
        <v>489</v>
      </c>
      <c r="P22" s="519"/>
      <c r="Q22" s="796"/>
      <c r="R22" s="796"/>
      <c r="S22" s="433"/>
      <c r="T22" s="60" t="s">
        <v>490</v>
      </c>
      <c r="AA22" s="79" t="s">
        <v>491</v>
      </c>
      <c r="AC22" s="79" t="s">
        <v>492</v>
      </c>
      <c r="AD22" s="60" t="s">
        <v>490</v>
      </c>
      <c r="AI22" s="79" t="s">
        <v>493</v>
      </c>
      <c r="AK22" s="79" t="s">
        <v>492</v>
      </c>
      <c r="AN22" s="65"/>
      <c r="AO22" s="65"/>
      <c r="AP22" s="65"/>
      <c r="AQ22" s="65"/>
      <c r="AR22" s="65"/>
    </row>
    <row r="23" spans="1:44" ht="14.25" hidden="1" customHeight="1">
      <c r="O23" s="794"/>
    </row>
    <row r="24" spans="1:44" ht="14.25" hidden="1" customHeight="1">
      <c r="O24" s="794"/>
    </row>
    <row r="25" spans="1:44" ht="14.25" customHeight="1">
      <c r="Q25" s="27"/>
      <c r="R25" s="27"/>
      <c r="S25" s="764"/>
      <c r="T25" s="8"/>
      <c r="U25" s="8"/>
    </row>
    <row r="26" spans="1:44" ht="64.5" customHeight="1">
      <c r="Q26" s="27"/>
      <c r="R26" s="27"/>
      <c r="S26" s="1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312"/>
      <c r="U26" s="1312"/>
      <c r="V26" s="1312"/>
      <c r="W26" s="1312"/>
      <c r="X26" s="1312"/>
      <c r="Y26" s="1312"/>
      <c r="Z26" s="1312"/>
      <c r="AA26" s="1312"/>
      <c r="AB26" s="1312"/>
      <c r="AC26" s="1312"/>
      <c r="AD26" s="1312"/>
      <c r="AE26" s="1312"/>
      <c r="AF26" s="1312"/>
      <c r="AG26" s="1312"/>
      <c r="AH26" s="1312"/>
      <c r="AI26" s="1312"/>
      <c r="AJ26" s="1312"/>
      <c r="AK26" s="57"/>
    </row>
    <row r="27" spans="1:44" ht="14.25" customHeight="1">
      <c r="Q27" s="27"/>
      <c r="R27" s="27"/>
      <c r="S27" s="1178" t="str">
        <f>IF(org=0,"Не определено",org)</f>
        <v>ООО "Концессионная Коммунальная Компания"</v>
      </c>
      <c r="T27" s="1178"/>
      <c r="U27" s="1178"/>
      <c r="V27" s="1178"/>
      <c r="W27" s="1178"/>
      <c r="X27" s="1178"/>
      <c r="Y27" s="1178"/>
      <c r="Z27" s="1178"/>
      <c r="AA27" s="1178"/>
      <c r="AB27" s="1178"/>
      <c r="AC27" s="1178"/>
      <c r="AD27" s="1178"/>
      <c r="AE27" s="1178"/>
      <c r="AF27" s="1178"/>
      <c r="AG27" s="1178"/>
      <c r="AH27" s="1178"/>
      <c r="AI27" s="1178"/>
      <c r="AJ27" s="1178"/>
      <c r="AK27" s="57"/>
    </row>
    <row r="28" spans="1:44" ht="14.25" hidden="1" customHeight="1">
      <c r="Q28" s="27"/>
      <c r="R28" s="27"/>
      <c r="S28" s="764"/>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4"/>
      <c r="M29" s="79"/>
      <c r="N29" s="79"/>
      <c r="O29" s="79"/>
      <c r="S29" s="1278" t="s">
        <v>40</v>
      </c>
      <c r="T29" s="1278"/>
      <c r="U29" s="797"/>
      <c r="V29" s="1280" t="str">
        <f>IF(TITLE_NAME_OR_PR_CHANGE="",IF(TITLE_NAME_OR_PR="","",TITLE_NAME_OR_PR),TITLE_NAME_OR_PR_CHANGE)</f>
        <v/>
      </c>
      <c r="W29" s="1280"/>
      <c r="X29" s="1280"/>
      <c r="Y29" s="1280"/>
      <c r="Z29" s="1280"/>
      <c r="AA29" s="1280"/>
      <c r="AB29" s="1280"/>
      <c r="AC29" s="9"/>
      <c r="AD29" s="1280" t="str">
        <f>IF(TITLE_NAME_OR_PR_CHANGE="",IF(TITLE_NAME_OR_PR="","",TITLE_NAME_OR_PR),TITLE_NAME_OR_PR_CHANGE)</f>
        <v/>
      </c>
      <c r="AE29" s="1280"/>
      <c r="AF29" s="1280"/>
      <c r="AG29" s="1280"/>
      <c r="AH29" s="1280"/>
      <c r="AI29" s="1280"/>
      <c r="AJ29" s="1280"/>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4"/>
      <c r="M30" s="79"/>
      <c r="N30" s="79"/>
      <c r="O30" s="79"/>
      <c r="S30" s="1278" t="s">
        <v>494</v>
      </c>
      <c r="T30" s="1278"/>
      <c r="U30" s="797"/>
      <c r="V30" s="1279" t="str">
        <f>IF(TITLE_DATE_CHANGE_PERIOD="",IF(TITLE_DATE_PR="","",TITLE_DATE_PR),TITLE_DATE_CHANGE_PERIOD)</f>
        <v/>
      </c>
      <c r="W30" s="1279"/>
      <c r="X30" s="1279"/>
      <c r="Y30" s="1279"/>
      <c r="Z30" s="1279"/>
      <c r="AA30" s="1279"/>
      <c r="AB30" s="1279"/>
      <c r="AC30" s="9"/>
      <c r="AD30" s="1279" t="str">
        <f>IF(TITLE_DATE_CHANGE_PERIOD="",IF(TITLE_DATE_PR="","",TITLE_DATE_PR),TITLE_DATE_CHANGE_PERIOD)</f>
        <v/>
      </c>
      <c r="AE30" s="1279"/>
      <c r="AF30" s="1279"/>
      <c r="AG30" s="1279"/>
      <c r="AH30" s="1279"/>
      <c r="AI30" s="1279"/>
      <c r="AJ30" s="1279"/>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4"/>
      <c r="M31" s="79"/>
      <c r="N31" s="79"/>
      <c r="O31" s="79"/>
      <c r="S31" s="1278" t="s">
        <v>495</v>
      </c>
      <c r="T31" s="1278"/>
      <c r="U31" s="797"/>
      <c r="V31" s="1280" t="str">
        <f>IF(TITLE_NUMBER_PR_CHANGE="",IF(TITLE_NUMBER_PR="","",TITLE_NUMBER_PR),TITLE_NUMBER_PR_CHANGE)</f>
        <v/>
      </c>
      <c r="W31" s="1280"/>
      <c r="X31" s="1280"/>
      <c r="Y31" s="1280"/>
      <c r="Z31" s="1280"/>
      <c r="AA31" s="1280"/>
      <c r="AB31" s="1280"/>
      <c r="AC31" s="9"/>
      <c r="AD31" s="1280" t="str">
        <f>IF(TITLE_NUMBER_PR_CHANGE="",IF(TITLE_NUMBER_PR="","",TITLE_NUMBER_PR),TITLE_NUMBER_PR_CHANGE)</f>
        <v/>
      </c>
      <c r="AE31" s="1280"/>
      <c r="AF31" s="1280"/>
      <c r="AG31" s="1280"/>
      <c r="AH31" s="1280"/>
      <c r="AI31" s="1280"/>
      <c r="AJ31" s="1280"/>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4"/>
      <c r="M32" s="79"/>
      <c r="N32" s="79"/>
      <c r="O32" s="79"/>
      <c r="S32" s="1278" t="s">
        <v>41</v>
      </c>
      <c r="T32" s="1278"/>
      <c r="U32" s="797"/>
      <c r="V32" s="1280" t="str">
        <f>IF(TITLE_IST_PUB_CHANGE="",IF(TITLE_IST_PUB="","",TITLE_IST_PUB),TITLE_IST_PUB_CHANGE)</f>
        <v/>
      </c>
      <c r="W32" s="1280"/>
      <c r="X32" s="1280"/>
      <c r="Y32" s="1280"/>
      <c r="Z32" s="1280"/>
      <c r="AA32" s="1280"/>
      <c r="AB32" s="1280"/>
      <c r="AC32" s="9"/>
      <c r="AD32" s="1280" t="str">
        <f>IF(TITLE_IST_PUB_CHANGE="",IF(TITLE_IST_PUB="","",TITLE_IST_PUB),TITLE_IST_PUB_CHANGE)</f>
        <v/>
      </c>
      <c r="AE32" s="1280"/>
      <c r="AF32" s="1280"/>
      <c r="AG32" s="1280"/>
      <c r="AH32" s="1280"/>
      <c r="AI32" s="1280"/>
      <c r="AJ32" s="1280"/>
      <c r="AK32" s="9"/>
      <c r="AL32" s="9"/>
      <c r="AM32" s="162"/>
      <c r="AN32" s="66"/>
      <c r="AO32" s="66"/>
      <c r="AP32" s="66"/>
      <c r="AQ32" s="66"/>
      <c r="AR32" s="66"/>
    </row>
    <row r="33" spans="1:44" ht="14.25" hidden="1" customHeight="1">
      <c r="Q33" s="27"/>
      <c r="R33" s="27"/>
      <c r="S33" s="764"/>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4"/>
      <c r="M34" s="79"/>
      <c r="N34" s="79"/>
      <c r="O34" s="79"/>
      <c r="S34" s="1278" t="s">
        <v>496</v>
      </c>
      <c r="T34" s="1278"/>
      <c r="U34" s="797"/>
      <c r="V34" s="1279" t="str">
        <f>IF(TITLE_DATE_CHANGE_PERIOD="",IF(TITLE_DATE_PR="","",TITLE_DATE_PR),TITLE_DATE_CHANGE_PERIOD)</f>
        <v/>
      </c>
      <c r="W34" s="1279"/>
      <c r="X34" s="1279"/>
      <c r="Y34" s="1279"/>
      <c r="Z34" s="1279"/>
      <c r="AA34" s="1279"/>
      <c r="AB34" s="1279"/>
      <c r="AC34" s="9"/>
      <c r="AD34" s="1279" t="str">
        <f>IF(TITLE_DATE_CHANGE_PERIOD="",IF(TITLE_DATE_PR="","",TITLE_DATE_PR),TITLE_DATE_CHANGE_PERIOD)</f>
        <v/>
      </c>
      <c r="AE34" s="1279"/>
      <c r="AF34" s="1279"/>
      <c r="AG34" s="1279"/>
      <c r="AH34" s="1279"/>
      <c r="AI34" s="1279"/>
      <c r="AJ34" s="1279"/>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4"/>
      <c r="M35" s="79"/>
      <c r="N35" s="79"/>
      <c r="O35" s="79"/>
      <c r="S35" s="1278" t="s">
        <v>497</v>
      </c>
      <c r="T35" s="1278"/>
      <c r="U35" s="797"/>
      <c r="V35" s="1280" t="str">
        <f>IF(TITLE_NUMBER_PR_CHANGE="",IF(TITLE_NUMBER_PR="","",TITLE_NUMBER_PR),TITLE_NUMBER_PR_CHANGE)</f>
        <v/>
      </c>
      <c r="W35" s="1280"/>
      <c r="X35" s="1280"/>
      <c r="Y35" s="1280"/>
      <c r="Z35" s="1280"/>
      <c r="AA35" s="1280"/>
      <c r="AB35" s="1280"/>
      <c r="AC35" s="9"/>
      <c r="AD35" s="1280" t="str">
        <f>IF(TITLE_NUMBER_PR_CHANGE="",IF(TITLE_NUMBER_PR="","",TITLE_NUMBER_PR),TITLE_NUMBER_PR_CHANGE)</f>
        <v/>
      </c>
      <c r="AE35" s="1280"/>
      <c r="AF35" s="1280"/>
      <c r="AG35" s="1280"/>
      <c r="AH35" s="1280"/>
      <c r="AI35" s="1280"/>
      <c r="AJ35" s="1280"/>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4"/>
      <c r="M36" s="79"/>
      <c r="N36" s="79"/>
      <c r="O36" s="79"/>
      <c r="S36" s="9"/>
      <c r="T36" s="9"/>
      <c r="U36" s="75"/>
      <c r="V36" s="9"/>
      <c r="W36" s="9"/>
      <c r="X36" s="9"/>
      <c r="Y36" s="9"/>
      <c r="Z36" s="9"/>
      <c r="AA36" s="9"/>
      <c r="AB36" s="9"/>
      <c r="AC36" s="65" t="s">
        <v>498</v>
      </c>
      <c r="AD36" s="9"/>
      <c r="AE36" s="9"/>
      <c r="AF36" s="9"/>
      <c r="AG36" s="9"/>
      <c r="AH36" s="9"/>
      <c r="AI36" s="9"/>
      <c r="AJ36" s="9"/>
      <c r="AK36" s="65" t="s">
        <v>498</v>
      </c>
      <c r="AN36" s="66"/>
      <c r="AO36" s="66"/>
      <c r="AP36" s="66"/>
      <c r="AQ36" s="66"/>
      <c r="AR36" s="66"/>
    </row>
    <row r="37" spans="1:44" ht="14.25" customHeight="1">
      <c r="Q37" s="27"/>
      <c r="R37" s="27"/>
      <c r="S37" s="764"/>
      <c r="T37" s="8"/>
      <c r="U37" s="736"/>
      <c r="V37" s="1298"/>
      <c r="W37" s="1298"/>
      <c r="X37" s="1298"/>
      <c r="Y37" s="1298"/>
      <c r="Z37" s="1298"/>
      <c r="AA37" s="1298"/>
      <c r="AB37" s="1298"/>
      <c r="AC37" s="1298"/>
      <c r="AD37" s="1298"/>
      <c r="AE37" s="1298"/>
      <c r="AF37" s="1298"/>
      <c r="AG37" s="1298"/>
      <c r="AH37" s="1298"/>
      <c r="AI37" s="1298"/>
      <c r="AJ37" s="1298"/>
      <c r="AK37" s="1298"/>
    </row>
    <row r="38" spans="1:44" ht="14.25" customHeight="1">
      <c r="Q38" s="27"/>
      <c r="R38" s="27"/>
      <c r="S38" s="1082" t="s">
        <v>302</v>
      </c>
      <c r="T38" s="1082"/>
      <c r="U38" s="1082"/>
      <c r="V38" s="1082"/>
      <c r="W38" s="1082"/>
      <c r="X38" s="1082"/>
      <c r="Y38" s="1082"/>
      <c r="Z38" s="1082"/>
      <c r="AA38" s="1082"/>
      <c r="AB38" s="1082"/>
      <c r="AC38" s="1082"/>
      <c r="AD38" s="1082"/>
      <c r="AE38" s="1082"/>
      <c r="AF38" s="1082"/>
      <c r="AG38" s="1082"/>
      <c r="AH38" s="1082"/>
      <c r="AI38" s="1082"/>
      <c r="AJ38" s="1082"/>
      <c r="AK38" s="1082"/>
      <c r="AL38" s="1082"/>
      <c r="AM38" s="1082" t="s">
        <v>303</v>
      </c>
    </row>
    <row r="39" spans="1:44" ht="14.25" customHeight="1">
      <c r="Q39" s="27"/>
      <c r="R39" s="27"/>
      <c r="S39" s="1299" t="s">
        <v>88</v>
      </c>
      <c r="T39" s="1176" t="s">
        <v>499</v>
      </c>
      <c r="U39" s="171"/>
      <c r="V39" s="1300" t="s">
        <v>500</v>
      </c>
      <c r="W39" s="1301"/>
      <c r="X39" s="1301"/>
      <c r="Y39" s="1301"/>
      <c r="Z39" s="1301"/>
      <c r="AA39" s="1301"/>
      <c r="AB39" s="1302"/>
      <c r="AC39" s="1303" t="s">
        <v>501</v>
      </c>
      <c r="AD39" s="1300" t="s">
        <v>500</v>
      </c>
      <c r="AE39" s="1301"/>
      <c r="AF39" s="1301"/>
      <c r="AG39" s="1301"/>
      <c r="AH39" s="1301"/>
      <c r="AI39" s="1301"/>
      <c r="AJ39" s="1302"/>
      <c r="AK39" s="1303" t="s">
        <v>502</v>
      </c>
      <c r="AL39" s="1306" t="s">
        <v>503</v>
      </c>
      <c r="AM39" s="1082"/>
    </row>
    <row r="40" spans="1:44" ht="33.75" customHeight="1">
      <c r="Q40" s="27"/>
      <c r="R40" s="27"/>
      <c r="S40" s="1299"/>
      <c r="T40" s="1176"/>
      <c r="U40" s="621"/>
      <c r="V40" s="1145" t="s">
        <v>504</v>
      </c>
      <c r="W40" s="1295"/>
      <c r="X40" s="1063" t="s">
        <v>506</v>
      </c>
      <c r="Y40" s="1062"/>
      <c r="Z40" s="1063" t="s">
        <v>507</v>
      </c>
      <c r="AA40" s="1068"/>
      <c r="AB40" s="1062"/>
      <c r="AC40" s="1304"/>
      <c r="AD40" s="1145" t="s">
        <v>504</v>
      </c>
      <c r="AE40" s="1295"/>
      <c r="AF40" s="1063" t="s">
        <v>506</v>
      </c>
      <c r="AG40" s="1062"/>
      <c r="AH40" s="1063" t="s">
        <v>507</v>
      </c>
      <c r="AI40" s="1068"/>
      <c r="AJ40" s="1062"/>
      <c r="AK40" s="1304"/>
      <c r="AL40" s="1307"/>
      <c r="AM40" s="1082"/>
    </row>
    <row r="41" spans="1:44" ht="33.75" customHeight="1">
      <c r="A41" s="79"/>
      <c r="B41" s="79" t="s">
        <v>151</v>
      </c>
      <c r="C41" s="79" t="s">
        <v>152</v>
      </c>
      <c r="D41" s="79" t="s">
        <v>153</v>
      </c>
      <c r="E41" s="794" t="s">
        <v>508</v>
      </c>
      <c r="F41" s="794" t="s">
        <v>509</v>
      </c>
      <c r="G41" s="794" t="s">
        <v>510</v>
      </c>
      <c r="H41" s="794" t="s">
        <v>511</v>
      </c>
      <c r="I41" s="794" t="s">
        <v>512</v>
      </c>
      <c r="J41" s="794" t="s">
        <v>513</v>
      </c>
      <c r="K41" s="794" t="s">
        <v>514</v>
      </c>
      <c r="L41" s="794" t="s">
        <v>489</v>
      </c>
      <c r="Q41" s="27"/>
      <c r="R41" s="27"/>
      <c r="S41" s="1299"/>
      <c r="T41" s="1176"/>
      <c r="U41" s="172"/>
      <c r="V41" s="1200"/>
      <c r="W41" s="1296"/>
      <c r="X41" s="37" t="s">
        <v>515</v>
      </c>
      <c r="Y41" s="37" t="s">
        <v>516</v>
      </c>
      <c r="Z41" s="37" t="s">
        <v>517</v>
      </c>
      <c r="AA41" s="1182" t="s">
        <v>518</v>
      </c>
      <c r="AB41" s="1195"/>
      <c r="AC41" s="1305"/>
      <c r="AD41" s="1200"/>
      <c r="AE41" s="1296"/>
      <c r="AF41" s="37" t="s">
        <v>515</v>
      </c>
      <c r="AG41" s="37" t="s">
        <v>516</v>
      </c>
      <c r="AH41" s="37" t="s">
        <v>517</v>
      </c>
      <c r="AI41" s="1182" t="s">
        <v>518</v>
      </c>
      <c r="AJ41" s="1195"/>
      <c r="AK41" s="1305"/>
      <c r="AL41" s="1308"/>
      <c r="AM41" s="1082"/>
    </row>
    <row r="42" spans="1:44" s="209" customFormat="1" ht="11.25" hidden="1" customHeight="1">
      <c r="A42" s="79"/>
      <c r="B42" s="79"/>
      <c r="C42" s="79"/>
      <c r="D42" s="79"/>
      <c r="E42" s="79"/>
      <c r="F42" s="79"/>
      <c r="G42" s="79"/>
      <c r="H42" s="79"/>
      <c r="I42" s="79"/>
      <c r="J42" s="79"/>
      <c r="K42" s="79"/>
      <c r="L42" s="794"/>
      <c r="M42" s="519"/>
      <c r="N42" s="519"/>
      <c r="O42" s="519"/>
      <c r="P42" s="738"/>
      <c r="Q42" s="739"/>
      <c r="R42" s="747">
        <v>1</v>
      </c>
      <c r="S42" s="766" t="s">
        <v>119</v>
      </c>
      <c r="T42" s="748" t="s">
        <v>103</v>
      </c>
      <c r="U42" s="737" t="str">
        <f ca="1">OFFSET(U42,0,-1)</f>
        <v>2</v>
      </c>
      <c r="V42" s="749">
        <f ca="1">OFFSET(V42,0,-1)+1</f>
        <v>3</v>
      </c>
      <c r="W42" s="749"/>
      <c r="X42" s="749">
        <f ca="1">OFFSET(X42,0,-1)+1</f>
        <v>1</v>
      </c>
      <c r="Y42" s="749">
        <f ca="1">OFFSET(Y42,0,-1)+1</f>
        <v>2</v>
      </c>
      <c r="Z42" s="749">
        <f ca="1">OFFSET(Z42,0,-1)+1</f>
        <v>3</v>
      </c>
      <c r="AA42" s="1297">
        <f ca="1">OFFSET(AA42,0,-1)+1</f>
        <v>4</v>
      </c>
      <c r="AB42" s="1297"/>
      <c r="AC42" s="749">
        <f ca="1">OFFSET(AC42,0,-2)+1</f>
        <v>5</v>
      </c>
      <c r="AD42" s="749">
        <f ca="1">OFFSET(AD42,0,-1)+1</f>
        <v>6</v>
      </c>
      <c r="AE42" s="749"/>
      <c r="AF42" s="749">
        <f ca="1">OFFSET(AF42,0,-1)+1</f>
        <v>1</v>
      </c>
      <c r="AG42" s="749">
        <f ca="1">OFFSET(AG42,0,-1)+1</f>
        <v>2</v>
      </c>
      <c r="AH42" s="749">
        <f ca="1">OFFSET(AH42,0,-1)+1</f>
        <v>3</v>
      </c>
      <c r="AI42" s="1297">
        <f ca="1">OFFSET(AI42,0,-1)+1</f>
        <v>4</v>
      </c>
      <c r="AJ42" s="1297"/>
      <c r="AK42" s="749">
        <f ca="1">OFFSET(AK42,0,-2)+1</f>
        <v>5</v>
      </c>
      <c r="AL42" s="737">
        <f ca="1">OFFSET(AL42,0,-1)</f>
        <v>5</v>
      </c>
      <c r="AM42" s="749">
        <f ca="1">OFFSET(AM42,0,-1)+1</f>
        <v>6</v>
      </c>
      <c r="AN42" s="65"/>
      <c r="AO42" s="65"/>
      <c r="AP42" s="65"/>
      <c r="AQ42" s="65"/>
      <c r="AR42" s="65"/>
    </row>
    <row r="43" spans="1:44" ht="21" customHeight="1">
      <c r="A43" s="793" t="s">
        <v>196</v>
      </c>
      <c r="B43" s="793"/>
      <c r="C43" s="793"/>
      <c r="D43" s="793"/>
      <c r="E43" s="1287">
        <v>1</v>
      </c>
      <c r="F43" s="793"/>
      <c r="G43" s="793"/>
      <c r="H43" s="793"/>
      <c r="I43" s="793"/>
      <c r="J43" s="793"/>
      <c r="K43" s="793"/>
      <c r="L43" s="794"/>
      <c r="M43" s="433"/>
      <c r="N43" s="433"/>
      <c r="O43" s="433"/>
      <c r="Q43" s="2"/>
      <c r="R43" s="213"/>
      <c r="S43" s="725">
        <f>INDEX(PT_DIFFERENTIATION_NUM_NTAR,MATCH(A43,PT_DIFFERENTIATION_NTAR_ID,0))</f>
        <v>0</v>
      </c>
      <c r="T43" s="64" t="s">
        <v>139</v>
      </c>
      <c r="U43" s="170"/>
      <c r="V43" s="1281"/>
      <c r="W43" s="1282"/>
      <c r="X43" s="1282"/>
      <c r="Y43" s="1282"/>
      <c r="Z43" s="1282"/>
      <c r="AA43" s="1282"/>
      <c r="AB43" s="1282"/>
      <c r="AC43" s="1283"/>
      <c r="AD43" s="1281" t="str">
        <f>INDEX(PT_DIFFERENTIATION_NTAR,MATCH(A43,PT_DIFFERENTIATION_NTAR_ID,0))</f>
        <v/>
      </c>
      <c r="AE43" s="1282"/>
      <c r="AF43" s="1282"/>
      <c r="AG43" s="1282"/>
      <c r="AH43" s="1282"/>
      <c r="AI43" s="1282"/>
      <c r="AJ43" s="1282"/>
      <c r="AK43" s="1282"/>
      <c r="AL43" s="1283"/>
      <c r="AM43" s="75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3" t="s">
        <v>196</v>
      </c>
      <c r="B44" s="793" t="s">
        <v>197</v>
      </c>
      <c r="C44" s="793"/>
      <c r="D44" s="793"/>
      <c r="E44" s="1288"/>
      <c r="F44" s="1287">
        <v>1</v>
      </c>
      <c r="G44" s="793"/>
      <c r="H44" s="793"/>
      <c r="I44" s="793"/>
      <c r="J44" s="793"/>
      <c r="K44" s="793"/>
      <c r="L44" s="794"/>
      <c r="M44" s="433"/>
      <c r="N44" s="433"/>
      <c r="O44" s="433"/>
      <c r="P44" s="56"/>
      <c r="Q44" s="210"/>
      <c r="R44" s="211"/>
      <c r="S44" s="725" t="str">
        <f>INDEX(PT_DIFFERENTIATION_NUM_TER,MATCH(B44,PT_DIFFERENTIATION_TER_ID,0))</f>
        <v>.</v>
      </c>
      <c r="T44" s="178" t="s">
        <v>471</v>
      </c>
      <c r="U44" s="170"/>
      <c r="V44" s="1281"/>
      <c r="W44" s="1282"/>
      <c r="X44" s="1282"/>
      <c r="Y44" s="1282"/>
      <c r="Z44" s="1282"/>
      <c r="AA44" s="1282"/>
      <c r="AB44" s="1282"/>
      <c r="AC44" s="1283"/>
      <c r="AD44" s="1281" t="str">
        <f>INDEX(PT_DIFFERENTIATION_TER,MATCH(B44,PT_DIFFERENTIATION_TER_ID,0))</f>
        <v/>
      </c>
      <c r="AE44" s="1282"/>
      <c r="AF44" s="1282"/>
      <c r="AG44" s="1282"/>
      <c r="AH44" s="1282"/>
      <c r="AI44" s="1282"/>
      <c r="AJ44" s="1282"/>
      <c r="AK44" s="1282"/>
      <c r="AL44" s="1283"/>
      <c r="AM44" s="753" t="s">
        <v>472</v>
      </c>
      <c r="AO44" s="66"/>
      <c r="AP44" s="66" t="str">
        <f t="shared" si="1"/>
        <v>Территория действия тарифа</v>
      </c>
      <c r="AQ44" s="66"/>
      <c r="AR44" s="66"/>
    </row>
    <row r="45" spans="1:44" ht="23.25" customHeight="1">
      <c r="A45" s="793" t="s">
        <v>196</v>
      </c>
      <c r="B45" s="793" t="s">
        <v>197</v>
      </c>
      <c r="C45" s="793" t="s">
        <v>198</v>
      </c>
      <c r="D45" s="793"/>
      <c r="E45" s="1288"/>
      <c r="F45" s="1288"/>
      <c r="G45" s="1287">
        <v>1</v>
      </c>
      <c r="H45" s="793"/>
      <c r="I45" s="793"/>
      <c r="J45" s="793"/>
      <c r="K45" s="793"/>
      <c r="L45" s="794"/>
      <c r="M45" s="433"/>
      <c r="N45" s="433"/>
      <c r="O45" s="433"/>
      <c r="P45" s="212"/>
      <c r="Q45" s="210"/>
      <c r="R45" s="211"/>
      <c r="S45" s="725" t="str">
        <f>INDEX(PT_DIFFERENTIATION_NUM_CS,MATCH(C45,PT_DIFFERENTIATION_CS_ID,0))</f>
        <v>..</v>
      </c>
      <c r="T45" s="179" t="s">
        <v>473</v>
      </c>
      <c r="U45" s="170"/>
      <c r="V45" s="1281"/>
      <c r="W45" s="1282"/>
      <c r="X45" s="1282"/>
      <c r="Y45" s="1282"/>
      <c r="Z45" s="1282"/>
      <c r="AA45" s="1282"/>
      <c r="AB45" s="1282"/>
      <c r="AC45" s="1283"/>
      <c r="AD45" s="1281" t="str">
        <f>INDEX(PT_DIFFERENTIATION_CS,MATCH(C45,PT_DIFFERENTIATION_CS_ID,0))</f>
        <v/>
      </c>
      <c r="AE45" s="1282"/>
      <c r="AF45" s="1282"/>
      <c r="AG45" s="1282"/>
      <c r="AH45" s="1282"/>
      <c r="AI45" s="1282"/>
      <c r="AJ45" s="1282"/>
      <c r="AK45" s="1282"/>
      <c r="AL45" s="1283"/>
      <c r="AM45" s="753" t="s">
        <v>474</v>
      </c>
      <c r="AO45" s="66"/>
      <c r="AP45" s="66" t="str">
        <f t="shared" si="1"/>
        <v xml:space="preserve">Наименование системы теплоснабжения </v>
      </c>
      <c r="AQ45" s="66"/>
      <c r="AR45" s="66"/>
    </row>
    <row r="46" spans="1:44" ht="21" customHeight="1">
      <c r="A46" s="793" t="s">
        <v>196</v>
      </c>
      <c r="B46" s="793" t="s">
        <v>197</v>
      </c>
      <c r="C46" s="793" t="s">
        <v>198</v>
      </c>
      <c r="D46" s="793" t="s">
        <v>199</v>
      </c>
      <c r="E46" s="1288"/>
      <c r="F46" s="1288"/>
      <c r="G46" s="1288"/>
      <c r="H46" s="1287">
        <v>1</v>
      </c>
      <c r="I46" s="793"/>
      <c r="J46" s="793"/>
      <c r="K46" s="793"/>
      <c r="L46" s="794"/>
      <c r="M46" s="433"/>
      <c r="N46" s="433"/>
      <c r="O46" s="433"/>
      <c r="P46" s="212"/>
      <c r="Q46" s="210"/>
      <c r="R46" s="211"/>
      <c r="S46" s="725" t="str">
        <f>INDEX(PT_DIFFERENTIATION_NUM_IST_TE,MATCH(D46,PT_DIFFERENTIATION_IST_TE_ID,0))</f>
        <v>...</v>
      </c>
      <c r="T46" s="180" t="s">
        <v>475</v>
      </c>
      <c r="U46" s="170"/>
      <c r="V46" s="1281"/>
      <c r="W46" s="1282"/>
      <c r="X46" s="1282"/>
      <c r="Y46" s="1282"/>
      <c r="Z46" s="1282"/>
      <c r="AA46" s="1282"/>
      <c r="AB46" s="1282"/>
      <c r="AC46" s="1283"/>
      <c r="AD46" s="1281" t="str">
        <f>INDEX(PT_DIFFERENTIATION_IST_TE,MATCH(D46,PT_DIFFERENTIATION_IST_TE_ID,0))</f>
        <v/>
      </c>
      <c r="AE46" s="1282"/>
      <c r="AF46" s="1282"/>
      <c r="AG46" s="1282"/>
      <c r="AH46" s="1282"/>
      <c r="AI46" s="1282"/>
      <c r="AJ46" s="1282"/>
      <c r="AK46" s="1282"/>
      <c r="AL46" s="1283"/>
      <c r="AM46" s="753" t="s">
        <v>476</v>
      </c>
      <c r="AO46" s="66"/>
      <c r="AP46" s="66" t="str">
        <f t="shared" si="1"/>
        <v xml:space="preserve">Источник тепловой энергии  </v>
      </c>
      <c r="AQ46" s="66"/>
      <c r="AR46" s="66"/>
    </row>
    <row r="47" spans="1:44" s="65" customFormat="1" ht="0" hidden="1" customHeight="1">
      <c r="A47" s="142" t="s">
        <v>196</v>
      </c>
      <c r="B47" s="142" t="s">
        <v>197</v>
      </c>
      <c r="C47" s="142" t="s">
        <v>198</v>
      </c>
      <c r="D47" s="142" t="s">
        <v>199</v>
      </c>
      <c r="E47" s="1288"/>
      <c r="F47" s="1288"/>
      <c r="G47" s="1288"/>
      <c r="H47" s="1288"/>
      <c r="I47" s="1289" t="str">
        <f>S46&amp;".1"</f>
        <v>....1</v>
      </c>
      <c r="J47" s="142"/>
      <c r="K47" s="142"/>
      <c r="L47" s="355" t="s">
        <v>477</v>
      </c>
      <c r="M47" s="228"/>
      <c r="N47" s="228"/>
      <c r="O47" s="228"/>
      <c r="P47" s="1211">
        <v>1</v>
      </c>
      <c r="Q47" s="119"/>
      <c r="R47" s="214"/>
      <c r="S47" s="371"/>
      <c r="T47" s="803"/>
      <c r="U47" s="804"/>
      <c r="V47" s="1316"/>
      <c r="W47" s="1317"/>
      <c r="X47" s="1317"/>
      <c r="Y47" s="1317"/>
      <c r="Z47" s="1317"/>
      <c r="AA47" s="1317"/>
      <c r="AB47" s="1317"/>
      <c r="AC47" s="1318"/>
      <c r="AD47" s="1316"/>
      <c r="AE47" s="1317"/>
      <c r="AF47" s="1317"/>
      <c r="AG47" s="1317"/>
      <c r="AH47" s="1317"/>
      <c r="AI47" s="1317"/>
      <c r="AJ47" s="1317"/>
      <c r="AK47" s="1317"/>
      <c r="AL47" s="1318"/>
      <c r="AM47" s="805"/>
      <c r="AO47" s="66"/>
      <c r="AP47" s="66" t="str">
        <f t="shared" si="1"/>
        <v/>
      </c>
      <c r="AQ47" s="66"/>
      <c r="AR47" s="66"/>
    </row>
    <row r="48" spans="1:44" ht="21" customHeight="1">
      <c r="A48" s="793" t="s">
        <v>196</v>
      </c>
      <c r="B48" s="793" t="s">
        <v>197</v>
      </c>
      <c r="C48" s="793" t="s">
        <v>198</v>
      </c>
      <c r="D48" s="793" t="s">
        <v>199</v>
      </c>
      <c r="E48" s="1288"/>
      <c r="F48" s="1288"/>
      <c r="G48" s="1288"/>
      <c r="H48" s="1288"/>
      <c r="I48" s="1290"/>
      <c r="J48" s="1289" t="str">
        <f>S46&amp;".1"</f>
        <v>....1</v>
      </c>
      <c r="K48" s="793"/>
      <c r="L48" s="794" t="s">
        <v>480</v>
      </c>
      <c r="P48" s="1211"/>
      <c r="Q48" s="1211">
        <v>1</v>
      </c>
      <c r="R48" s="215"/>
      <c r="S48" s="725" t="str">
        <f>$J48</f>
        <v>....1</v>
      </c>
      <c r="T48" s="164" t="s">
        <v>481</v>
      </c>
      <c r="U48" s="170"/>
      <c r="V48" s="1275"/>
      <c r="W48" s="1276"/>
      <c r="X48" s="1276"/>
      <c r="Y48" s="1276"/>
      <c r="Z48" s="1276"/>
      <c r="AA48" s="1276"/>
      <c r="AB48" s="1276"/>
      <c r="AC48" s="1277"/>
      <c r="AD48" s="1275"/>
      <c r="AE48" s="1276"/>
      <c r="AF48" s="1276"/>
      <c r="AG48" s="1276"/>
      <c r="AH48" s="1276"/>
      <c r="AI48" s="1276"/>
      <c r="AJ48" s="1276"/>
      <c r="AK48" s="1276"/>
      <c r="AL48" s="1277"/>
      <c r="AM48" s="753" t="s">
        <v>482</v>
      </c>
      <c r="AO48" s="66"/>
      <c r="AP48" s="66" t="str">
        <f t="shared" si="1"/>
        <v>Группа потребителей</v>
      </c>
      <c r="AQ48" s="66"/>
      <c r="AR48" s="66"/>
    </row>
    <row r="49" spans="1:44" ht="21" customHeight="1">
      <c r="A49" s="793" t="s">
        <v>196</v>
      </c>
      <c r="B49" s="793" t="s">
        <v>197</v>
      </c>
      <c r="C49" s="793" t="s">
        <v>198</v>
      </c>
      <c r="D49" s="793" t="s">
        <v>199</v>
      </c>
      <c r="E49" s="1288"/>
      <c r="F49" s="1288"/>
      <c r="G49" s="1288"/>
      <c r="H49" s="1288"/>
      <c r="I49" s="1290"/>
      <c r="J49" s="1290"/>
      <c r="K49" s="1289" t="str">
        <f>J48&amp;".1"</f>
        <v>....1.1</v>
      </c>
      <c r="L49" s="794" t="s">
        <v>483</v>
      </c>
      <c r="P49" s="1211"/>
      <c r="Q49" s="1211"/>
      <c r="R49" s="215">
        <v>1</v>
      </c>
      <c r="S49" s="725" t="str">
        <f>$K49</f>
        <v>....1.1</v>
      </c>
      <c r="T49" s="789"/>
      <c r="U49" s="170"/>
      <c r="V49" s="317"/>
      <c r="W49" s="196"/>
      <c r="X49" s="317"/>
      <c r="Y49" s="752"/>
      <c r="Z49" s="1291"/>
      <c r="AA49" s="1092" t="s">
        <v>59</v>
      </c>
      <c r="AB49" s="1291"/>
      <c r="AC49" s="1092" t="s">
        <v>59</v>
      </c>
      <c r="AD49" s="317"/>
      <c r="AE49" s="196"/>
      <c r="AF49" s="317"/>
      <c r="AG49" s="752"/>
      <c r="AH49" s="1291"/>
      <c r="AI49" s="1092" t="s">
        <v>59</v>
      </c>
      <c r="AJ49" s="1293"/>
      <c r="AK49" s="1092" t="s">
        <v>59</v>
      </c>
      <c r="AL49" s="790"/>
      <c r="AM49" s="1309" t="s">
        <v>527</v>
      </c>
      <c r="AN49" s="65" t="e">
        <f ca="1">STRCHECKDATE(V50:AL50)</f>
        <v>#NAME?</v>
      </c>
      <c r="AO49" s="66"/>
      <c r="AP49" s="66" t="str">
        <f t="shared" si="1"/>
        <v/>
      </c>
      <c r="AQ49" s="66"/>
      <c r="AR49" s="66"/>
    </row>
    <row r="50" spans="1:44" ht="0.75" customHeight="1">
      <c r="A50" s="793" t="s">
        <v>196</v>
      </c>
      <c r="B50" s="793" t="s">
        <v>197</v>
      </c>
      <c r="C50" s="793" t="s">
        <v>198</v>
      </c>
      <c r="D50" s="793" t="s">
        <v>199</v>
      </c>
      <c r="E50" s="1288"/>
      <c r="F50" s="1288"/>
      <c r="G50" s="1288"/>
      <c r="H50" s="1288"/>
      <c r="I50" s="1290"/>
      <c r="J50" s="1290"/>
      <c r="K50" s="1289"/>
      <c r="L50" s="794"/>
      <c r="P50" s="1211"/>
      <c r="Q50" s="1211"/>
      <c r="R50" s="215"/>
      <c r="S50" s="62"/>
      <c r="T50" s="170"/>
      <c r="U50" s="170"/>
      <c r="V50" s="196"/>
      <c r="W50" s="196"/>
      <c r="X50" s="196"/>
      <c r="Y50" s="198" t="str">
        <f>Z49&amp;"-"&amp;AB49</f>
        <v>-</v>
      </c>
      <c r="Z50" s="1292"/>
      <c r="AA50" s="1092"/>
      <c r="AB50" s="1292"/>
      <c r="AC50" s="1092"/>
      <c r="AD50" s="196"/>
      <c r="AE50" s="196"/>
      <c r="AF50" s="196"/>
      <c r="AG50" s="198" t="str">
        <f>AH49&amp;"-"&amp;AJ49</f>
        <v>-</v>
      </c>
      <c r="AH50" s="1292"/>
      <c r="AI50" s="1092"/>
      <c r="AJ50" s="1294"/>
      <c r="AK50" s="1092"/>
      <c r="AL50" s="791"/>
      <c r="AM50" s="1310"/>
      <c r="AO50" s="66"/>
      <c r="AP50" s="66" t="str">
        <f t="shared" si="1"/>
        <v/>
      </c>
      <c r="AQ50" s="66"/>
      <c r="AR50" s="66"/>
    </row>
    <row r="51" spans="1:44" ht="11.25" customHeight="1">
      <c r="A51" s="793" t="s">
        <v>196</v>
      </c>
      <c r="B51" s="793" t="s">
        <v>197</v>
      </c>
      <c r="C51" s="793" t="s">
        <v>198</v>
      </c>
      <c r="D51" s="793" t="s">
        <v>199</v>
      </c>
      <c r="E51" s="1288"/>
      <c r="F51" s="1288"/>
      <c r="G51" s="1288"/>
      <c r="H51" s="1288"/>
      <c r="I51" s="1290"/>
      <c r="J51" s="1289"/>
      <c r="K51" s="793"/>
      <c r="L51" s="794"/>
      <c r="P51" s="1211"/>
      <c r="Q51" s="1211"/>
      <c r="R51" s="214"/>
      <c r="S51" s="767"/>
      <c r="T51" s="165" t="s">
        <v>485</v>
      </c>
      <c r="U51" s="221"/>
      <c r="V51" s="221"/>
      <c r="W51" s="221"/>
      <c r="X51" s="221"/>
      <c r="Y51" s="221"/>
      <c r="Z51" s="221"/>
      <c r="AA51" s="221"/>
      <c r="AB51" s="221"/>
      <c r="AC51" s="221"/>
      <c r="AD51" s="221"/>
      <c r="AE51" s="221"/>
      <c r="AF51" s="221"/>
      <c r="AG51" s="221"/>
      <c r="AH51" s="221"/>
      <c r="AI51" s="221"/>
      <c r="AJ51" s="221"/>
      <c r="AK51" s="221"/>
      <c r="AL51" s="195"/>
      <c r="AM51" s="1311"/>
      <c r="AO51" s="66"/>
      <c r="AP51" s="66" t="str">
        <f t="shared" si="1"/>
        <v>Добавить вид теплоносителя (параметры теплоносителя)</v>
      </c>
      <c r="AQ51" s="66"/>
      <c r="AR51" s="66"/>
    </row>
    <row r="52" spans="1:44" ht="11.25" customHeight="1">
      <c r="A52" s="793" t="s">
        <v>196</v>
      </c>
      <c r="B52" s="793" t="s">
        <v>197</v>
      </c>
      <c r="C52" s="793" t="s">
        <v>198</v>
      </c>
      <c r="D52" s="793" t="s">
        <v>199</v>
      </c>
      <c r="E52" s="1288"/>
      <c r="F52" s="1288"/>
      <c r="G52" s="1288"/>
      <c r="H52" s="1288"/>
      <c r="I52" s="1289"/>
      <c r="J52" s="793"/>
      <c r="K52" s="793"/>
      <c r="L52" s="794"/>
      <c r="P52" s="1211"/>
      <c r="Q52" s="119"/>
      <c r="R52" s="214"/>
      <c r="S52" s="767"/>
      <c r="T52" s="219" t="s">
        <v>486</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3" t="s">
        <v>196</v>
      </c>
      <c r="B53" s="793" t="s">
        <v>197</v>
      </c>
      <c r="C53" s="793" t="s">
        <v>198</v>
      </c>
      <c r="D53" s="793" t="s">
        <v>199</v>
      </c>
      <c r="E53" s="1288"/>
      <c r="F53" s="1288"/>
      <c r="G53" s="1288"/>
      <c r="H53" s="1287"/>
      <c r="I53" s="793"/>
      <c r="J53" s="793"/>
      <c r="K53" s="793"/>
      <c r="L53" s="794"/>
      <c r="M53" s="433"/>
      <c r="N53" s="433"/>
      <c r="O53" s="60"/>
      <c r="P53" s="2"/>
      <c r="Q53" s="224"/>
      <c r="R53" s="213"/>
      <c r="S53" s="806"/>
      <c r="T53" s="807"/>
      <c r="U53" s="808"/>
      <c r="V53" s="808"/>
      <c r="W53" s="808"/>
      <c r="X53" s="808"/>
      <c r="Y53" s="808"/>
      <c r="Z53" s="808"/>
      <c r="AA53" s="808"/>
      <c r="AB53" s="808"/>
      <c r="AC53" s="808"/>
      <c r="AD53" s="808"/>
      <c r="AE53" s="808"/>
      <c r="AF53" s="808"/>
      <c r="AG53" s="808"/>
      <c r="AH53" s="808"/>
      <c r="AI53" s="808"/>
      <c r="AJ53" s="808"/>
      <c r="AK53" s="808"/>
      <c r="AL53" s="808"/>
      <c r="AM53" s="809"/>
      <c r="AO53" s="66"/>
      <c r="AP53" s="66" t="str">
        <f t="shared" si="1"/>
        <v/>
      </c>
      <c r="AQ53" s="66"/>
      <c r="AR53" s="66"/>
    </row>
    <row r="54" spans="1:44" s="65" customFormat="1" ht="0.75" customHeight="1">
      <c r="A54" s="142" t="s">
        <v>196</v>
      </c>
      <c r="B54" s="142" t="s">
        <v>197</v>
      </c>
      <c r="C54" s="142" t="s">
        <v>198</v>
      </c>
      <c r="D54" s="142"/>
      <c r="E54" s="1288"/>
      <c r="F54" s="1288"/>
      <c r="G54" s="1287"/>
      <c r="H54" s="142"/>
      <c r="I54" s="142"/>
      <c r="J54" s="142"/>
      <c r="K54" s="142"/>
      <c r="L54" s="355"/>
      <c r="M54" s="304"/>
      <c r="N54" s="304"/>
      <c r="P54" s="101"/>
      <c r="Q54" s="780"/>
      <c r="R54" s="101"/>
      <c r="S54" s="785"/>
      <c r="T54" s="787" t="s">
        <v>444</v>
      </c>
      <c r="U54" s="323"/>
      <c r="V54" s="323"/>
      <c r="W54" s="323"/>
      <c r="X54" s="323"/>
      <c r="Y54" s="323"/>
      <c r="Z54" s="323"/>
      <c r="AA54" s="323"/>
      <c r="AB54" s="323"/>
      <c r="AC54" s="323"/>
      <c r="AD54" s="323"/>
      <c r="AE54" s="323"/>
      <c r="AF54" s="323"/>
      <c r="AG54" s="323"/>
      <c r="AH54" s="323"/>
      <c r="AI54" s="323"/>
      <c r="AJ54" s="323"/>
      <c r="AK54" s="323"/>
      <c r="AL54" s="323"/>
      <c r="AM54" s="323"/>
      <c r="AO54" s="66"/>
      <c r="AP54" s="66" t="str">
        <f t="shared" si="1"/>
        <v>Добавить источник для дифференциации</v>
      </c>
      <c r="AQ54" s="66"/>
      <c r="AR54" s="66"/>
    </row>
    <row r="55" spans="1:44" s="65" customFormat="1" ht="0.75" customHeight="1">
      <c r="A55" s="142" t="s">
        <v>196</v>
      </c>
      <c r="B55" s="142" t="s">
        <v>197</v>
      </c>
      <c r="C55" s="142"/>
      <c r="D55" s="142"/>
      <c r="E55" s="1288"/>
      <c r="F55" s="1287"/>
      <c r="G55" s="142"/>
      <c r="H55" s="142"/>
      <c r="I55" s="142"/>
      <c r="J55" s="142"/>
      <c r="K55" s="142"/>
      <c r="L55" s="355"/>
      <c r="M55" s="784"/>
      <c r="N55" s="784"/>
      <c r="P55" s="101"/>
      <c r="Q55" s="780"/>
      <c r="R55" s="101"/>
      <c r="S55" s="785"/>
      <c r="T55" s="787" t="s">
        <v>445</v>
      </c>
      <c r="U55" s="323"/>
      <c r="V55" s="323"/>
      <c r="W55" s="323"/>
      <c r="X55" s="323"/>
      <c r="Y55" s="323"/>
      <c r="Z55" s="323"/>
      <c r="AA55" s="323"/>
      <c r="AB55" s="323"/>
      <c r="AC55" s="323"/>
      <c r="AD55" s="323"/>
      <c r="AE55" s="323"/>
      <c r="AF55" s="323"/>
      <c r="AG55" s="323"/>
      <c r="AH55" s="323"/>
      <c r="AI55" s="323"/>
      <c r="AJ55" s="323"/>
      <c r="AK55" s="323"/>
      <c r="AL55" s="323"/>
      <c r="AM55" s="323"/>
      <c r="AO55" s="66"/>
      <c r="AP55" s="66" t="str">
        <f t="shared" si="1"/>
        <v>Добавить централизованную систему для дифференциации</v>
      </c>
      <c r="AQ55" s="66"/>
      <c r="AR55" s="66"/>
    </row>
    <row r="56" spans="1:44" s="65" customFormat="1" ht="0.75" customHeight="1">
      <c r="A56" s="142" t="s">
        <v>196</v>
      </c>
      <c r="B56" s="142"/>
      <c r="C56" s="142"/>
      <c r="D56" s="142"/>
      <c r="E56" s="1287"/>
      <c r="F56" s="142"/>
      <c r="G56" s="142"/>
      <c r="H56" s="142"/>
      <c r="I56" s="142"/>
      <c r="J56" s="142"/>
      <c r="K56" s="142"/>
      <c r="L56" s="355"/>
      <c r="M56" s="784"/>
      <c r="N56" s="784"/>
      <c r="P56" s="101"/>
      <c r="Q56" s="780"/>
      <c r="R56" s="101"/>
      <c r="S56" s="785"/>
      <c r="T56" s="787" t="s">
        <v>446</v>
      </c>
      <c r="U56" s="323"/>
      <c r="V56" s="323"/>
      <c r="W56" s="323"/>
      <c r="X56" s="323"/>
      <c r="Y56" s="323"/>
      <c r="Z56" s="323"/>
      <c r="AA56" s="323"/>
      <c r="AB56" s="323"/>
      <c r="AC56" s="323"/>
      <c r="AD56" s="323"/>
      <c r="AE56" s="323"/>
      <c r="AF56" s="323"/>
      <c r="AG56" s="323"/>
      <c r="AH56" s="323"/>
      <c r="AI56" s="323"/>
      <c r="AJ56" s="323"/>
      <c r="AK56" s="323"/>
      <c r="AL56" s="323"/>
      <c r="AM56" s="323"/>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4"/>
      <c r="N57" s="784"/>
      <c r="P57" s="101"/>
      <c r="Q57" s="780"/>
      <c r="R57" s="101"/>
      <c r="S57" s="785"/>
      <c r="T57" s="787" t="s">
        <v>447</v>
      </c>
      <c r="U57" s="323"/>
      <c r="V57" s="323"/>
      <c r="W57" s="323"/>
      <c r="X57" s="323"/>
      <c r="Y57" s="323"/>
      <c r="Z57" s="323"/>
      <c r="AA57" s="323"/>
      <c r="AB57" s="323"/>
      <c r="AC57" s="323"/>
      <c r="AD57" s="323"/>
      <c r="AE57" s="323"/>
      <c r="AF57" s="323"/>
      <c r="AG57" s="323"/>
      <c r="AH57" s="323"/>
      <c r="AI57" s="323"/>
      <c r="AJ57" s="323"/>
      <c r="AK57" s="323"/>
      <c r="AL57" s="323"/>
      <c r="AM57" s="323"/>
      <c r="AO57" s="66"/>
      <c r="AP57" s="66" t="str">
        <f t="shared" si="1"/>
        <v>Добавить наименование тарифа</v>
      </c>
      <c r="AQ57" s="66"/>
      <c r="AR57" s="66"/>
    </row>
    <row r="58" spans="1:44" ht="11.25" hidden="1" customHeight="1">
      <c r="M58" s="60"/>
      <c r="N58" s="60"/>
      <c r="O58" s="60"/>
      <c r="P58" s="9"/>
      <c r="Q58" s="9"/>
      <c r="R58" s="9"/>
      <c r="S58" s="9"/>
      <c r="AN58" s="9"/>
      <c r="AO58" s="9"/>
      <c r="AP58" s="9"/>
      <c r="AQ58" s="9"/>
      <c r="AR58" s="9"/>
    </row>
    <row r="59" spans="1:44" ht="21.75" hidden="1" customHeight="1">
      <c r="O59" s="60"/>
      <c r="S59" s="204" t="s">
        <v>519</v>
      </c>
      <c r="T59" s="1286" t="s">
        <v>528</v>
      </c>
      <c r="U59" s="1286"/>
      <c r="V59" s="1286"/>
      <c r="W59" s="1286"/>
      <c r="X59" s="1286"/>
      <c r="Y59" s="1286"/>
      <c r="Z59" s="1286"/>
      <c r="AA59" s="1286"/>
      <c r="AB59" s="1286"/>
      <c r="AC59" s="1286"/>
      <c r="AD59" s="1286"/>
      <c r="AE59" s="1286"/>
      <c r="AF59" s="1286"/>
      <c r="AG59" s="1286"/>
      <c r="AH59" s="1286"/>
      <c r="AI59" s="1286"/>
      <c r="AJ59" s="1286"/>
      <c r="AK59" s="1286"/>
      <c r="AL59" s="1286"/>
      <c r="AM59" s="1286"/>
    </row>
    <row r="60" spans="1:44" ht="29.25" hidden="1" customHeight="1">
      <c r="O60" s="60"/>
      <c r="T60" s="1286" t="s">
        <v>529</v>
      </c>
      <c r="U60" s="1286"/>
      <c r="V60" s="1286"/>
      <c r="W60" s="1286"/>
      <c r="X60" s="1286"/>
      <c r="Y60" s="1286"/>
      <c r="Z60" s="1286"/>
      <c r="AA60" s="1286"/>
      <c r="AB60" s="1286"/>
      <c r="AC60" s="1286"/>
      <c r="AD60" s="1286"/>
      <c r="AE60" s="1286"/>
      <c r="AF60" s="1286"/>
      <c r="AG60" s="1286"/>
      <c r="AH60" s="1286"/>
      <c r="AI60" s="1286"/>
      <c r="AJ60" s="1286"/>
      <c r="AK60" s="1286"/>
      <c r="AL60" s="1286"/>
      <c r="AM60" s="1286"/>
    </row>
    <row r="61" spans="1:44" ht="39.75" hidden="1" customHeight="1">
      <c r="O61" s="60"/>
      <c r="T61" s="1286" t="s">
        <v>530</v>
      </c>
      <c r="U61" s="1286"/>
      <c r="V61" s="1286"/>
      <c r="W61" s="1286"/>
      <c r="X61" s="1286"/>
      <c r="Y61" s="1286"/>
      <c r="Z61" s="1286"/>
      <c r="AA61" s="1286"/>
      <c r="AB61" s="1286"/>
      <c r="AC61" s="1286"/>
      <c r="AD61" s="1286"/>
      <c r="AE61" s="1286"/>
      <c r="AF61" s="1286"/>
      <c r="AG61" s="1286"/>
      <c r="AH61" s="1286"/>
      <c r="AI61" s="1286"/>
      <c r="AJ61" s="1286"/>
      <c r="AK61" s="1286"/>
      <c r="AL61" s="1286"/>
      <c r="AM61" s="1286"/>
    </row>
    <row r="62" spans="1:44" ht="14.25" hidden="1" customHeight="1">
      <c r="O62" s="60"/>
    </row>
    <row r="63" spans="1:44" ht="19.5" hidden="1" customHeight="1">
      <c r="O63" s="60"/>
      <c r="S63" s="204" t="s">
        <v>519</v>
      </c>
      <c r="T63" s="1131" t="s">
        <v>522</v>
      </c>
      <c r="U63" s="1286"/>
      <c r="V63" s="1286"/>
      <c r="W63" s="1286"/>
      <c r="X63" s="1286"/>
      <c r="Y63" s="1286"/>
      <c r="Z63" s="1286"/>
      <c r="AA63" s="1286"/>
      <c r="AB63" s="1286"/>
      <c r="AC63" s="1286"/>
      <c r="AD63" s="1286"/>
      <c r="AE63" s="1286"/>
      <c r="AF63" s="1286"/>
      <c r="AG63" s="1286"/>
      <c r="AH63" s="1286"/>
      <c r="AI63" s="1286"/>
      <c r="AJ63" s="1286"/>
      <c r="AK63" s="1286"/>
      <c r="AL63" s="1286"/>
      <c r="AM63" s="1286"/>
    </row>
    <row r="64" spans="1:44" ht="27.75" hidden="1" customHeight="1">
      <c r="O64" s="60"/>
      <c r="T64" s="1286" t="s">
        <v>531</v>
      </c>
      <c r="U64" s="1286"/>
      <c r="V64" s="1286"/>
      <c r="W64" s="1286"/>
      <c r="X64" s="1286"/>
      <c r="Y64" s="1286"/>
      <c r="Z64" s="1286"/>
      <c r="AA64" s="1286"/>
      <c r="AB64" s="1286"/>
      <c r="AC64" s="1286"/>
      <c r="AD64" s="1286"/>
      <c r="AE64" s="1286"/>
      <c r="AF64" s="1286"/>
      <c r="AG64" s="1286"/>
      <c r="AH64" s="1286"/>
      <c r="AI64" s="1286"/>
      <c r="AJ64" s="1286"/>
      <c r="AK64" s="1286"/>
      <c r="AL64" s="1286"/>
      <c r="AM64" s="1286"/>
    </row>
    <row r="65" spans="20:39" ht="33.75" hidden="1" customHeight="1">
      <c r="T65" s="1286" t="s">
        <v>532</v>
      </c>
      <c r="U65" s="1286"/>
      <c r="V65" s="1286"/>
      <c r="W65" s="1286"/>
      <c r="X65" s="1286"/>
      <c r="Y65" s="1286"/>
      <c r="Z65" s="1286"/>
      <c r="AA65" s="1286"/>
      <c r="AB65" s="1286"/>
      <c r="AC65" s="1286"/>
      <c r="AD65" s="1286"/>
      <c r="AE65" s="1286"/>
      <c r="AF65" s="1286"/>
      <c r="AG65" s="1286"/>
      <c r="AH65" s="1286"/>
      <c r="AI65" s="1286"/>
      <c r="AJ65" s="1286"/>
      <c r="AK65" s="1286"/>
      <c r="AL65" s="1286"/>
      <c r="AM65" s="1286"/>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FF1EC-0277-2A2D-0B01-995171E96406}">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19" hidden="1" customWidth="1"/>
    <col min="15" max="15" width="23.42578125" style="519"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3"/>
      <c r="B2" s="793"/>
      <c r="C2" s="793"/>
      <c r="D2" s="793"/>
      <c r="E2" s="1287">
        <v>1</v>
      </c>
      <c r="F2" s="793"/>
      <c r="G2" s="793"/>
      <c r="H2" s="793"/>
      <c r="I2" s="793"/>
      <c r="J2" s="793"/>
      <c r="K2" s="793"/>
      <c r="L2" s="794"/>
      <c r="M2" s="433"/>
      <c r="N2" s="433"/>
      <c r="O2" s="433"/>
      <c r="Q2" s="2"/>
      <c r="R2" s="213"/>
      <c r="S2" s="725" t="e">
        <f>INDEX(PT_DIFFERENTIATION_NUM_NTAR,MATCH(A2,PT_DIFFERENTIATION_NTAR_ID,0))</f>
        <v>#N/A</v>
      </c>
      <c r="T2" s="64" t="s">
        <v>139</v>
      </c>
      <c r="U2" s="170"/>
      <c r="V2" s="1281"/>
      <c r="W2" s="1282"/>
      <c r="X2" s="1282"/>
      <c r="Y2" s="1282"/>
      <c r="Z2" s="1282"/>
      <c r="AA2" s="1282"/>
      <c r="AB2" s="1282"/>
      <c r="AC2" s="1283"/>
      <c r="AD2" s="1281" t="e">
        <f>INDEX(PT_DIFFERENTIATION_NTAR,MATCH(A2,PT_DIFFERENTIATION_NTAR_ID,0))</f>
        <v>#N/A</v>
      </c>
      <c r="AE2" s="1282"/>
      <c r="AF2" s="1282"/>
      <c r="AG2" s="1282"/>
      <c r="AH2" s="1282"/>
      <c r="AI2" s="1282"/>
      <c r="AJ2" s="1282"/>
      <c r="AK2" s="1282"/>
      <c r="AL2" s="1283"/>
      <c r="AM2" s="753" t="s">
        <v>470</v>
      </c>
      <c r="AO2" s="66"/>
      <c r="AP2" s="66" t="str">
        <f t="shared" ref="AP2:AP15" si="0">IF(T2="","",T2)</f>
        <v>Наименование тарифа</v>
      </c>
      <c r="AQ2" s="66"/>
      <c r="AR2" s="66"/>
    </row>
    <row r="3" spans="1:44" ht="21" hidden="1" customHeight="1">
      <c r="A3" s="793"/>
      <c r="B3" s="793"/>
      <c r="C3" s="793"/>
      <c r="D3" s="793"/>
      <c r="E3" s="1288"/>
      <c r="F3" s="1287">
        <v>1</v>
      </c>
      <c r="G3" s="793"/>
      <c r="H3" s="793"/>
      <c r="I3" s="793"/>
      <c r="J3" s="793"/>
      <c r="K3" s="793"/>
      <c r="L3" s="794"/>
      <c r="M3" s="433"/>
      <c r="N3" s="433"/>
      <c r="O3" s="433"/>
      <c r="P3" s="56"/>
      <c r="Q3" s="210"/>
      <c r="R3" s="211"/>
      <c r="S3" s="725" t="e">
        <f>INDEX(PT_DIFFERENTIATION_NUM_TER,MATCH(B3,PT_DIFFERENTIATION_TER_ID,0))</f>
        <v>#N/A</v>
      </c>
      <c r="T3" s="178" t="s">
        <v>471</v>
      </c>
      <c r="U3" s="170"/>
      <c r="V3" s="1281"/>
      <c r="W3" s="1282"/>
      <c r="X3" s="1282"/>
      <c r="Y3" s="1282"/>
      <c r="Z3" s="1282"/>
      <c r="AA3" s="1282"/>
      <c r="AB3" s="1282"/>
      <c r="AC3" s="1283"/>
      <c r="AD3" s="1281" t="e">
        <f>INDEX(PT_DIFFERENTIATION_TER,MATCH(B3,PT_DIFFERENTIATION_TER_ID,0))</f>
        <v>#N/A</v>
      </c>
      <c r="AE3" s="1282"/>
      <c r="AF3" s="1282"/>
      <c r="AG3" s="1282"/>
      <c r="AH3" s="1282"/>
      <c r="AI3" s="1282"/>
      <c r="AJ3" s="1282"/>
      <c r="AK3" s="1282"/>
      <c r="AL3" s="1283"/>
      <c r="AM3" s="753" t="s">
        <v>472</v>
      </c>
      <c r="AO3" s="66"/>
      <c r="AP3" s="66" t="str">
        <f t="shared" si="0"/>
        <v>Территория действия тарифа</v>
      </c>
      <c r="AQ3" s="66"/>
      <c r="AR3" s="66"/>
    </row>
    <row r="4" spans="1:44" ht="23.25" hidden="1" customHeight="1">
      <c r="A4" s="793"/>
      <c r="B4" s="793"/>
      <c r="C4" s="793"/>
      <c r="D4" s="793"/>
      <c r="E4" s="1288"/>
      <c r="F4" s="1288"/>
      <c r="G4" s="1287">
        <v>1</v>
      </c>
      <c r="H4" s="793"/>
      <c r="I4" s="793"/>
      <c r="J4" s="793"/>
      <c r="K4" s="793"/>
      <c r="L4" s="794"/>
      <c r="M4" s="433"/>
      <c r="N4" s="433"/>
      <c r="O4" s="433"/>
      <c r="P4" s="212"/>
      <c r="Q4" s="210"/>
      <c r="R4" s="211"/>
      <c r="S4" s="725" t="e">
        <f>INDEX(PT_DIFFERENTIATION_NUM_CS,MATCH(C4,PT_DIFFERENTIATION_CS_ID,0))</f>
        <v>#N/A</v>
      </c>
      <c r="T4" s="179" t="s">
        <v>473</v>
      </c>
      <c r="U4" s="170"/>
      <c r="V4" s="1281"/>
      <c r="W4" s="1282"/>
      <c r="X4" s="1282"/>
      <c r="Y4" s="1282"/>
      <c r="Z4" s="1282"/>
      <c r="AA4" s="1282"/>
      <c r="AB4" s="1282"/>
      <c r="AC4" s="1283"/>
      <c r="AD4" s="1281" t="e">
        <f>INDEX(PT_DIFFERENTIATION_CS,MATCH(C4,PT_DIFFERENTIATION_CS_ID,0))</f>
        <v>#N/A</v>
      </c>
      <c r="AE4" s="1282"/>
      <c r="AF4" s="1282"/>
      <c r="AG4" s="1282"/>
      <c r="AH4" s="1282"/>
      <c r="AI4" s="1282"/>
      <c r="AJ4" s="1282"/>
      <c r="AK4" s="1282"/>
      <c r="AL4" s="1283"/>
      <c r="AM4" s="753" t="s">
        <v>474</v>
      </c>
      <c r="AO4" s="66"/>
      <c r="AP4" s="66" t="str">
        <f t="shared" si="0"/>
        <v xml:space="preserve">Наименование системы теплоснабжения </v>
      </c>
      <c r="AQ4" s="66"/>
      <c r="AR4" s="66"/>
    </row>
    <row r="5" spans="1:44" ht="21" hidden="1" customHeight="1">
      <c r="A5" s="793"/>
      <c r="B5" s="793"/>
      <c r="C5" s="793"/>
      <c r="D5" s="793"/>
      <c r="E5" s="1288"/>
      <c r="F5" s="1288"/>
      <c r="G5" s="1288"/>
      <c r="H5" s="1287">
        <v>1</v>
      </c>
      <c r="I5" s="793"/>
      <c r="J5" s="793"/>
      <c r="K5" s="793"/>
      <c r="L5" s="794"/>
      <c r="M5" s="433"/>
      <c r="N5" s="433"/>
      <c r="O5" s="433"/>
      <c r="P5" s="212"/>
      <c r="Q5" s="210"/>
      <c r="R5" s="211"/>
      <c r="S5" s="725" t="e">
        <f>INDEX(PT_DIFFERENTIATION_NUM_IST_TE,MATCH(D5,PT_DIFFERENTIATION_IST_TE_ID,0))</f>
        <v>#N/A</v>
      </c>
      <c r="T5" s="180" t="s">
        <v>475</v>
      </c>
      <c r="U5" s="170"/>
      <c r="V5" s="1281"/>
      <c r="W5" s="1282"/>
      <c r="X5" s="1282"/>
      <c r="Y5" s="1282"/>
      <c r="Z5" s="1282"/>
      <c r="AA5" s="1282"/>
      <c r="AB5" s="1282"/>
      <c r="AC5" s="1283"/>
      <c r="AD5" s="1281" t="e">
        <f>INDEX(PT_DIFFERENTIATION_IST_TE,MATCH(D5,PT_DIFFERENTIATION_IST_TE_ID,0))</f>
        <v>#N/A</v>
      </c>
      <c r="AE5" s="1282"/>
      <c r="AF5" s="1282"/>
      <c r="AG5" s="1282"/>
      <c r="AH5" s="1282"/>
      <c r="AI5" s="1282"/>
      <c r="AJ5" s="1282"/>
      <c r="AK5" s="1282"/>
      <c r="AL5" s="1283"/>
      <c r="AM5" s="753" t="s">
        <v>476</v>
      </c>
      <c r="AO5" s="66"/>
      <c r="AP5" s="66" t="str">
        <f t="shared" si="0"/>
        <v xml:space="preserve">Источник тепловой энергии  </v>
      </c>
      <c r="AQ5" s="66"/>
      <c r="AR5" s="66"/>
    </row>
    <row r="6" spans="1:44" ht="14.25" hidden="1" customHeight="1">
      <c r="A6" s="793"/>
      <c r="B6" s="793"/>
      <c r="C6" s="793"/>
      <c r="D6" s="793"/>
      <c r="E6" s="1288"/>
      <c r="F6" s="1288"/>
      <c r="G6" s="1288"/>
      <c r="H6" s="1288"/>
      <c r="I6" s="1289" t="e">
        <f>S5&amp;".1"</f>
        <v>#N/A</v>
      </c>
      <c r="J6" s="793"/>
      <c r="K6" s="793"/>
      <c r="L6" s="794" t="s">
        <v>477</v>
      </c>
      <c r="M6" s="60"/>
      <c r="P6" s="1211">
        <v>1</v>
      </c>
      <c r="Q6" s="119"/>
      <c r="R6" s="214"/>
      <c r="S6" s="371"/>
      <c r="T6" s="803"/>
      <c r="U6" s="804"/>
      <c r="V6" s="1316"/>
      <c r="W6" s="1317"/>
      <c r="X6" s="1317"/>
      <c r="Y6" s="1317"/>
      <c r="Z6" s="1317"/>
      <c r="AA6" s="1317"/>
      <c r="AB6" s="1317"/>
      <c r="AC6" s="1318"/>
      <c r="AD6" s="1316"/>
      <c r="AE6" s="1317"/>
      <c r="AF6" s="1317"/>
      <c r="AG6" s="1317"/>
      <c r="AH6" s="1317"/>
      <c r="AI6" s="1317"/>
      <c r="AJ6" s="1317"/>
      <c r="AK6" s="1317"/>
      <c r="AL6" s="1318"/>
      <c r="AM6" s="805"/>
      <c r="AO6" s="66"/>
      <c r="AP6" s="66" t="str">
        <f t="shared" si="0"/>
        <v/>
      </c>
      <c r="AQ6" s="66"/>
      <c r="AR6" s="66"/>
    </row>
    <row r="7" spans="1:44" ht="21" hidden="1" customHeight="1">
      <c r="A7" s="793"/>
      <c r="B7" s="793"/>
      <c r="C7" s="793"/>
      <c r="D7" s="793"/>
      <c r="E7" s="1288"/>
      <c r="F7" s="1288"/>
      <c r="G7" s="1288"/>
      <c r="H7" s="1288"/>
      <c r="I7" s="1290"/>
      <c r="J7" s="1289" t="e">
        <f>I6&amp;".1"</f>
        <v>#N/A</v>
      </c>
      <c r="K7" s="793"/>
      <c r="L7" s="794" t="s">
        <v>480</v>
      </c>
      <c r="M7" s="60"/>
      <c r="N7" s="60"/>
      <c r="P7" s="1211"/>
      <c r="Q7" s="1211">
        <v>1</v>
      </c>
      <c r="R7" s="215"/>
      <c r="S7" s="725" t="e">
        <f>$J7</f>
        <v>#N/A</v>
      </c>
      <c r="T7" s="164" t="s">
        <v>481</v>
      </c>
      <c r="U7" s="170"/>
      <c r="V7" s="1275"/>
      <c r="W7" s="1276"/>
      <c r="X7" s="1276"/>
      <c r="Y7" s="1276"/>
      <c r="Z7" s="1276"/>
      <c r="AA7" s="1276"/>
      <c r="AB7" s="1276"/>
      <c r="AC7" s="1277"/>
      <c r="AD7" s="1275"/>
      <c r="AE7" s="1276"/>
      <c r="AF7" s="1276"/>
      <c r="AG7" s="1276"/>
      <c r="AH7" s="1276"/>
      <c r="AI7" s="1276"/>
      <c r="AJ7" s="1276"/>
      <c r="AK7" s="1276"/>
      <c r="AL7" s="1277"/>
      <c r="AM7" s="753" t="s">
        <v>482</v>
      </c>
      <c r="AO7" s="66"/>
      <c r="AP7" s="66" t="str">
        <f t="shared" si="0"/>
        <v>Группа потребителей</v>
      </c>
      <c r="AQ7" s="66"/>
      <c r="AR7" s="66"/>
    </row>
    <row r="8" spans="1:44" ht="21" hidden="1" customHeight="1">
      <c r="A8" s="793"/>
      <c r="B8" s="793"/>
      <c r="C8" s="793"/>
      <c r="D8" s="793"/>
      <c r="E8" s="1288"/>
      <c r="F8" s="1288"/>
      <c r="G8" s="1288"/>
      <c r="H8" s="1288"/>
      <c r="I8" s="1290"/>
      <c r="J8" s="1290"/>
      <c r="K8" s="1289" t="e">
        <f>J7&amp;".1"</f>
        <v>#N/A</v>
      </c>
      <c r="L8" s="794" t="s">
        <v>483</v>
      </c>
      <c r="M8" s="60"/>
      <c r="N8" s="60"/>
      <c r="O8" s="60"/>
      <c r="P8" s="1211"/>
      <c r="Q8" s="1211"/>
      <c r="R8" s="215">
        <v>1</v>
      </c>
      <c r="S8" s="725" t="e">
        <f>$K8</f>
        <v>#N/A</v>
      </c>
      <c r="T8" s="789"/>
      <c r="U8" s="170"/>
      <c r="V8" s="317"/>
      <c r="W8" s="196"/>
      <c r="X8" s="317"/>
      <c r="Y8" s="752"/>
      <c r="Z8" s="1291"/>
      <c r="AA8" s="1092" t="s">
        <v>59</v>
      </c>
      <c r="AB8" s="1291"/>
      <c r="AC8" s="1092" t="s">
        <v>59</v>
      </c>
      <c r="AD8" s="317"/>
      <c r="AE8" s="196"/>
      <c r="AF8" s="317"/>
      <c r="AG8" s="752"/>
      <c r="AH8" s="1291"/>
      <c r="AI8" s="1092" t="s">
        <v>59</v>
      </c>
      <c r="AJ8" s="1291"/>
      <c r="AK8" s="1092" t="s">
        <v>59</v>
      </c>
      <c r="AL8" s="196"/>
      <c r="AM8" s="1309" t="s">
        <v>484</v>
      </c>
      <c r="AN8" s="65" t="e">
        <f ca="1">STRCHECKDATE(V9:AL9)</f>
        <v>#NAME?</v>
      </c>
      <c r="AO8" s="66"/>
      <c r="AP8" s="66" t="str">
        <f t="shared" si="0"/>
        <v/>
      </c>
      <c r="AQ8" s="66"/>
      <c r="AR8" s="66"/>
    </row>
    <row r="9" spans="1:44" ht="14.25" hidden="1" customHeight="1">
      <c r="A9" s="793"/>
      <c r="B9" s="793"/>
      <c r="C9" s="793"/>
      <c r="D9" s="793"/>
      <c r="E9" s="1288"/>
      <c r="F9" s="1288"/>
      <c r="G9" s="1288"/>
      <c r="H9" s="1288"/>
      <c r="I9" s="1290"/>
      <c r="J9" s="1290"/>
      <c r="K9" s="1289"/>
      <c r="L9" s="794"/>
      <c r="M9" s="60"/>
      <c r="N9" s="60"/>
      <c r="O9" s="60"/>
      <c r="P9" s="1211"/>
      <c r="Q9" s="1211"/>
      <c r="R9" s="215"/>
      <c r="S9" s="62"/>
      <c r="T9" s="170"/>
      <c r="U9" s="170"/>
      <c r="V9" s="196"/>
      <c r="W9" s="196"/>
      <c r="X9" s="196"/>
      <c r="Y9" s="198" t="str">
        <f>Z8&amp;"-"&amp;AB8</f>
        <v>-</v>
      </c>
      <c r="Z9" s="1292"/>
      <c r="AA9" s="1092"/>
      <c r="AB9" s="1292"/>
      <c r="AC9" s="1092"/>
      <c r="AD9" s="196"/>
      <c r="AE9" s="196"/>
      <c r="AF9" s="196"/>
      <c r="AG9" s="198" t="str">
        <f>AH8&amp;"-"&amp;AJ8</f>
        <v>-</v>
      </c>
      <c r="AH9" s="1292"/>
      <c r="AI9" s="1092"/>
      <c r="AJ9" s="1292"/>
      <c r="AK9" s="1092"/>
      <c r="AL9" s="196"/>
      <c r="AM9" s="1310"/>
      <c r="AO9" s="66"/>
      <c r="AP9" s="66" t="str">
        <f t="shared" si="0"/>
        <v/>
      </c>
      <c r="AQ9" s="66"/>
      <c r="AR9" s="66"/>
    </row>
    <row r="10" spans="1:44" ht="15" hidden="1" customHeight="1">
      <c r="A10" s="793"/>
      <c r="B10" s="793"/>
      <c r="C10" s="793"/>
      <c r="D10" s="793"/>
      <c r="E10" s="1288"/>
      <c r="F10" s="1288"/>
      <c r="G10" s="1288"/>
      <c r="H10" s="1288"/>
      <c r="I10" s="1290"/>
      <c r="J10" s="1289"/>
      <c r="K10" s="793"/>
      <c r="L10" s="794"/>
      <c r="M10" s="60"/>
      <c r="N10" s="60"/>
      <c r="P10" s="1211"/>
      <c r="Q10" s="1211"/>
      <c r="R10" s="214"/>
      <c r="S10" s="767"/>
      <c r="T10" s="165" t="s">
        <v>485</v>
      </c>
      <c r="U10" s="221"/>
      <c r="V10" s="221"/>
      <c r="W10" s="221"/>
      <c r="X10" s="221"/>
      <c r="Y10" s="221"/>
      <c r="Z10" s="221"/>
      <c r="AA10" s="221"/>
      <c r="AB10" s="221"/>
      <c r="AC10" s="221"/>
      <c r="AD10" s="221"/>
      <c r="AE10" s="221"/>
      <c r="AF10" s="221"/>
      <c r="AG10" s="221"/>
      <c r="AH10" s="221"/>
      <c r="AI10" s="221"/>
      <c r="AJ10" s="221"/>
      <c r="AK10" s="221"/>
      <c r="AL10" s="195"/>
      <c r="AM10" s="1311"/>
      <c r="AO10" s="66"/>
      <c r="AP10" s="66" t="str">
        <f t="shared" si="0"/>
        <v>Добавить вид теплоносителя (параметры теплоносителя)</v>
      </c>
      <c r="AQ10" s="66"/>
      <c r="AR10" s="66"/>
    </row>
    <row r="11" spans="1:44" ht="11.25" hidden="1" customHeight="1">
      <c r="A11" s="793"/>
      <c r="B11" s="793"/>
      <c r="C11" s="793"/>
      <c r="D11" s="793"/>
      <c r="E11" s="1288"/>
      <c r="F11" s="1288"/>
      <c r="G11" s="1288"/>
      <c r="H11" s="1288"/>
      <c r="I11" s="1289"/>
      <c r="J11" s="793"/>
      <c r="K11" s="793"/>
      <c r="L11" s="794"/>
      <c r="M11" s="60"/>
      <c r="P11" s="1211"/>
      <c r="Q11" s="119"/>
      <c r="R11" s="214"/>
      <c r="S11" s="767"/>
      <c r="T11" s="219" t="s">
        <v>486</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3"/>
      <c r="B12" s="793"/>
      <c r="C12" s="793"/>
      <c r="D12" s="793"/>
      <c r="E12" s="1288"/>
      <c r="F12" s="1288"/>
      <c r="G12" s="1288"/>
      <c r="H12" s="1287"/>
      <c r="I12" s="793"/>
      <c r="J12" s="793"/>
      <c r="K12" s="793"/>
      <c r="L12" s="794"/>
      <c r="M12" s="433"/>
      <c r="N12" s="433"/>
      <c r="O12" s="60"/>
      <c r="P12" s="2"/>
      <c r="Q12" s="224"/>
      <c r="R12" s="213"/>
      <c r="S12" s="806"/>
      <c r="T12" s="807"/>
      <c r="U12" s="808"/>
      <c r="V12" s="808"/>
      <c r="W12" s="808"/>
      <c r="X12" s="808"/>
      <c r="Y12" s="808"/>
      <c r="Z12" s="808"/>
      <c r="AA12" s="808"/>
      <c r="AB12" s="808"/>
      <c r="AC12" s="808"/>
      <c r="AD12" s="808"/>
      <c r="AE12" s="808"/>
      <c r="AF12" s="808"/>
      <c r="AG12" s="808"/>
      <c r="AH12" s="808"/>
      <c r="AI12" s="808"/>
      <c r="AJ12" s="808"/>
      <c r="AK12" s="808"/>
      <c r="AL12" s="808"/>
      <c r="AM12" s="809"/>
      <c r="AO12" s="66"/>
      <c r="AP12" s="66" t="str">
        <f t="shared" si="0"/>
        <v/>
      </c>
      <c r="AQ12" s="66"/>
      <c r="AR12" s="66"/>
    </row>
    <row r="13" spans="1:44" s="65" customFormat="1" ht="14.25" hidden="1" customHeight="1">
      <c r="A13" s="142"/>
      <c r="B13" s="142"/>
      <c r="C13" s="142"/>
      <c r="D13" s="142"/>
      <c r="E13" s="1288"/>
      <c r="F13" s="1288"/>
      <c r="G13" s="1287"/>
      <c r="H13" s="142"/>
      <c r="I13" s="142"/>
      <c r="J13" s="142"/>
      <c r="K13" s="142"/>
      <c r="L13" s="355"/>
      <c r="M13" s="304"/>
      <c r="N13" s="304"/>
      <c r="P13" s="101"/>
      <c r="Q13" s="780"/>
      <c r="R13" s="101"/>
      <c r="S13" s="781"/>
      <c r="T13" s="782" t="s">
        <v>444</v>
      </c>
      <c r="U13" s="783"/>
      <c r="V13" s="783"/>
      <c r="W13" s="783"/>
      <c r="X13" s="783"/>
      <c r="Y13" s="783"/>
      <c r="Z13" s="783"/>
      <c r="AA13" s="783"/>
      <c r="AB13" s="783"/>
      <c r="AC13" s="783"/>
      <c r="AD13" s="783"/>
      <c r="AE13" s="783"/>
      <c r="AF13" s="783"/>
      <c r="AG13" s="783"/>
      <c r="AH13" s="783"/>
      <c r="AI13" s="783"/>
      <c r="AJ13" s="783"/>
      <c r="AK13" s="783"/>
      <c r="AL13" s="783"/>
      <c r="AM13" s="783"/>
      <c r="AO13" s="66"/>
      <c r="AP13" s="66" t="str">
        <f t="shared" si="0"/>
        <v>Добавить источник для дифференциации</v>
      </c>
      <c r="AQ13" s="66"/>
      <c r="AR13" s="66"/>
    </row>
    <row r="14" spans="1:44" s="65" customFormat="1" ht="14.25" hidden="1" customHeight="1">
      <c r="A14" s="142"/>
      <c r="B14" s="142"/>
      <c r="C14" s="142"/>
      <c r="D14" s="142"/>
      <c r="E14" s="1288"/>
      <c r="F14" s="1287"/>
      <c r="G14" s="142"/>
      <c r="H14" s="142"/>
      <c r="I14" s="142"/>
      <c r="J14" s="142"/>
      <c r="K14" s="142"/>
      <c r="L14" s="355"/>
      <c r="M14" s="784"/>
      <c r="N14" s="784"/>
      <c r="P14" s="101"/>
      <c r="Q14" s="780"/>
      <c r="R14" s="101"/>
      <c r="S14" s="785"/>
      <c r="T14" s="786" t="s">
        <v>445</v>
      </c>
      <c r="U14" s="323"/>
      <c r="V14" s="323"/>
      <c r="W14" s="323"/>
      <c r="X14" s="323"/>
      <c r="Y14" s="323"/>
      <c r="Z14" s="323"/>
      <c r="AA14" s="323"/>
      <c r="AB14" s="323"/>
      <c r="AC14" s="323"/>
      <c r="AD14" s="323"/>
      <c r="AE14" s="323"/>
      <c r="AF14" s="323"/>
      <c r="AG14" s="323"/>
      <c r="AH14" s="323"/>
      <c r="AI14" s="323"/>
      <c r="AJ14" s="323"/>
      <c r="AK14" s="323"/>
      <c r="AL14" s="323"/>
      <c r="AM14" s="323"/>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87"/>
      <c r="F15" s="142"/>
      <c r="G15" s="142"/>
      <c r="H15" s="142"/>
      <c r="I15" s="142"/>
      <c r="J15" s="142"/>
      <c r="K15" s="142"/>
      <c r="L15" s="355"/>
      <c r="M15" s="784"/>
      <c r="N15" s="784"/>
      <c r="P15" s="101"/>
      <c r="Q15" s="780"/>
      <c r="R15" s="101"/>
      <c r="S15" s="785"/>
      <c r="T15" s="787" t="s">
        <v>446</v>
      </c>
      <c r="U15" s="323"/>
      <c r="V15" s="323"/>
      <c r="W15" s="323"/>
      <c r="X15" s="323"/>
      <c r="Y15" s="323"/>
      <c r="Z15" s="323"/>
      <c r="AA15" s="323"/>
      <c r="AB15" s="323"/>
      <c r="AC15" s="323"/>
      <c r="AD15" s="323"/>
      <c r="AE15" s="323"/>
      <c r="AF15" s="323"/>
      <c r="AG15" s="323"/>
      <c r="AH15" s="323"/>
      <c r="AI15" s="323"/>
      <c r="AJ15" s="323"/>
      <c r="AK15" s="323"/>
      <c r="AL15" s="323"/>
      <c r="AM15" s="323"/>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2"/>
      <c r="AH17" s="1285"/>
      <c r="AI17" s="1284" t="s">
        <v>59</v>
      </c>
      <c r="AJ17" s="1285"/>
      <c r="AK17" s="1284" t="s">
        <v>59</v>
      </c>
    </row>
    <row r="18" spans="1:44" ht="14.25" hidden="1" customHeight="1">
      <c r="AD18" s="376"/>
      <c r="AE18" s="376"/>
      <c r="AF18" s="376"/>
      <c r="AG18" s="198" t="str">
        <f>AH17&amp;"-"&amp;AJ17</f>
        <v>-</v>
      </c>
      <c r="AH18" s="1284"/>
      <c r="AI18" s="1284"/>
      <c r="AJ18" s="1284"/>
      <c r="AK18" s="1284"/>
    </row>
    <row r="19" spans="1:44" ht="14.25" hidden="1" customHeight="1"/>
    <row r="20" spans="1:44" s="60" customFormat="1" ht="22.5" hidden="1" customHeight="1">
      <c r="L20" s="312"/>
      <c r="M20" s="519"/>
      <c r="N20" s="519"/>
      <c r="O20" s="795" t="s">
        <v>488</v>
      </c>
      <c r="P20" s="519"/>
      <c r="Q20" s="796"/>
      <c r="R20" s="796"/>
      <c r="S20" s="433"/>
      <c r="Z20" s="795"/>
      <c r="AB20" s="795"/>
      <c r="AH20" s="795"/>
      <c r="AJ20" s="795"/>
      <c r="AN20" s="65"/>
      <c r="AO20" s="65"/>
      <c r="AP20" s="65"/>
      <c r="AQ20" s="65"/>
      <c r="AR20" s="65"/>
    </row>
    <row r="21" spans="1:44" s="60" customFormat="1" ht="14.25" hidden="1" customHeight="1">
      <c r="L21" s="312"/>
      <c r="M21" s="519"/>
      <c r="N21" s="519"/>
      <c r="O21" s="519"/>
      <c r="P21" s="519"/>
      <c r="Q21" s="796"/>
      <c r="R21" s="796"/>
      <c r="S21" s="433"/>
      <c r="AN21" s="65"/>
      <c r="AO21" s="65"/>
      <c r="AP21" s="65"/>
      <c r="AQ21" s="65"/>
      <c r="AR21" s="65"/>
    </row>
    <row r="22" spans="1:44" s="60" customFormat="1" ht="14.25" hidden="1" customHeight="1">
      <c r="L22" s="312"/>
      <c r="M22" s="519"/>
      <c r="N22" s="519"/>
      <c r="O22" s="794" t="s">
        <v>489</v>
      </c>
      <c r="P22" s="519"/>
      <c r="Q22" s="796"/>
      <c r="R22" s="796"/>
      <c r="S22" s="433"/>
      <c r="T22" s="60" t="s">
        <v>490</v>
      </c>
      <c r="AA22" s="79" t="s">
        <v>491</v>
      </c>
      <c r="AC22" s="79" t="s">
        <v>492</v>
      </c>
      <c r="AD22" s="60" t="s">
        <v>490</v>
      </c>
      <c r="AI22" s="79" t="s">
        <v>493</v>
      </c>
      <c r="AK22" s="79" t="s">
        <v>492</v>
      </c>
      <c r="AN22" s="65"/>
      <c r="AO22" s="65"/>
      <c r="AP22" s="65"/>
      <c r="AQ22" s="65"/>
      <c r="AR22" s="65"/>
    </row>
    <row r="23" spans="1:44" ht="14.25" hidden="1" customHeight="1">
      <c r="O23" s="794"/>
    </row>
    <row r="24" spans="1:44" ht="14.25" hidden="1" customHeight="1">
      <c r="O24" s="794"/>
    </row>
    <row r="25" spans="1:44" ht="14.25" customHeight="1">
      <c r="Q25" s="27"/>
      <c r="R25" s="27"/>
      <c r="S25" s="764"/>
      <c r="T25" s="8"/>
      <c r="U25" s="8"/>
    </row>
    <row r="26" spans="1:44" ht="64.5" customHeight="1">
      <c r="Q26" s="27"/>
      <c r="R26" s="27"/>
      <c r="S26" s="1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312"/>
      <c r="U26" s="1312"/>
      <c r="V26" s="1312"/>
      <c r="W26" s="1312"/>
      <c r="X26" s="1312"/>
      <c r="Y26" s="1312"/>
      <c r="Z26" s="1312"/>
      <c r="AA26" s="1312"/>
      <c r="AB26" s="1312"/>
      <c r="AC26" s="1312"/>
      <c r="AD26" s="1312"/>
      <c r="AE26" s="1312"/>
      <c r="AF26" s="1312"/>
      <c r="AG26" s="1312"/>
      <c r="AH26" s="1312"/>
      <c r="AI26" s="1312"/>
      <c r="AJ26" s="1312"/>
      <c r="AK26" s="57"/>
    </row>
    <row r="27" spans="1:44" ht="14.25" customHeight="1">
      <c r="Q27" s="27"/>
      <c r="R27" s="27"/>
      <c r="S27" s="1178" t="str">
        <f>IF(org=0,"Не определено",org)</f>
        <v>ООО "Концессионная Коммунальная Компания"</v>
      </c>
      <c r="T27" s="1178"/>
      <c r="U27" s="1178"/>
      <c r="V27" s="1178"/>
      <c r="W27" s="1178"/>
      <c r="X27" s="1178"/>
      <c r="Y27" s="1178"/>
      <c r="Z27" s="1178"/>
      <c r="AA27" s="1178"/>
      <c r="AB27" s="1178"/>
      <c r="AC27" s="1178"/>
      <c r="AD27" s="1178"/>
      <c r="AE27" s="1178"/>
      <c r="AF27" s="1178"/>
      <c r="AG27" s="1178"/>
      <c r="AH27" s="1178"/>
      <c r="AI27" s="1178"/>
      <c r="AJ27" s="1178"/>
      <c r="AK27" s="57"/>
    </row>
    <row r="28" spans="1:44" ht="14.25" hidden="1" customHeight="1">
      <c r="Q28" s="27"/>
      <c r="R28" s="27"/>
      <c r="S28" s="764"/>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4"/>
      <c r="M29" s="79"/>
      <c r="N29" s="79"/>
      <c r="O29" s="79"/>
      <c r="S29" s="1278" t="s">
        <v>40</v>
      </c>
      <c r="T29" s="1278"/>
      <c r="U29" s="797"/>
      <c r="V29" s="1280" t="str">
        <f>IF(TITLE_NAME_OR_PR_CHANGE="",IF(TITLE_NAME_OR_PR="","",TITLE_NAME_OR_PR),TITLE_NAME_OR_PR_CHANGE)</f>
        <v/>
      </c>
      <c r="W29" s="1280"/>
      <c r="X29" s="1280"/>
      <c r="Y29" s="1280"/>
      <c r="Z29" s="1280"/>
      <c r="AA29" s="1280"/>
      <c r="AB29" s="1280"/>
      <c r="AC29" s="9"/>
      <c r="AD29" s="1280" t="str">
        <f>IF(TITLE_NAME_OR_PR_CHANGE="",IF(TITLE_NAME_OR_PR="","",TITLE_NAME_OR_PR),TITLE_NAME_OR_PR_CHANGE)</f>
        <v/>
      </c>
      <c r="AE29" s="1280"/>
      <c r="AF29" s="1280"/>
      <c r="AG29" s="1280"/>
      <c r="AH29" s="1280"/>
      <c r="AI29" s="1280"/>
      <c r="AJ29" s="1280"/>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4"/>
      <c r="M30" s="79"/>
      <c r="N30" s="79"/>
      <c r="O30" s="79"/>
      <c r="S30" s="1278" t="s">
        <v>494</v>
      </c>
      <c r="T30" s="1278"/>
      <c r="U30" s="797"/>
      <c r="V30" s="1279" t="str">
        <f>IF(TITLE_DATE_CHANGE_PERIOD="",IF(TITLE_DATE_PR="","",TITLE_DATE_PR),TITLE_DATE_CHANGE_PERIOD)</f>
        <v/>
      </c>
      <c r="W30" s="1279"/>
      <c r="X30" s="1279"/>
      <c r="Y30" s="1279"/>
      <c r="Z30" s="1279"/>
      <c r="AA30" s="1279"/>
      <c r="AB30" s="1279"/>
      <c r="AC30" s="9"/>
      <c r="AD30" s="1279" t="str">
        <f>IF(TITLE_DATE_CHANGE_PERIOD="",IF(TITLE_DATE_PR="","",TITLE_DATE_PR),TITLE_DATE_CHANGE_PERIOD)</f>
        <v/>
      </c>
      <c r="AE30" s="1279"/>
      <c r="AF30" s="1279"/>
      <c r="AG30" s="1279"/>
      <c r="AH30" s="1279"/>
      <c r="AI30" s="1279"/>
      <c r="AJ30" s="1279"/>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4"/>
      <c r="M31" s="79"/>
      <c r="N31" s="79"/>
      <c r="O31" s="79"/>
      <c r="S31" s="1278" t="s">
        <v>495</v>
      </c>
      <c r="T31" s="1278"/>
      <c r="U31" s="797"/>
      <c r="V31" s="1280" t="str">
        <f>IF(TITLE_NUMBER_PR_CHANGE="",IF(TITLE_NUMBER_PR="","",TITLE_NUMBER_PR),TITLE_NUMBER_PR_CHANGE)</f>
        <v/>
      </c>
      <c r="W31" s="1280"/>
      <c r="X31" s="1280"/>
      <c r="Y31" s="1280"/>
      <c r="Z31" s="1280"/>
      <c r="AA31" s="1280"/>
      <c r="AB31" s="1280"/>
      <c r="AC31" s="9"/>
      <c r="AD31" s="1280" t="str">
        <f>IF(TITLE_NUMBER_PR_CHANGE="",IF(TITLE_NUMBER_PR="","",TITLE_NUMBER_PR),TITLE_NUMBER_PR_CHANGE)</f>
        <v/>
      </c>
      <c r="AE31" s="1280"/>
      <c r="AF31" s="1280"/>
      <c r="AG31" s="1280"/>
      <c r="AH31" s="1280"/>
      <c r="AI31" s="1280"/>
      <c r="AJ31" s="1280"/>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4"/>
      <c r="M32" s="79"/>
      <c r="N32" s="79"/>
      <c r="O32" s="79"/>
      <c r="S32" s="1278" t="s">
        <v>41</v>
      </c>
      <c r="T32" s="1278"/>
      <c r="U32" s="797"/>
      <c r="V32" s="1280" t="str">
        <f>IF(TITLE_IST_PUB_CHANGE="",IF(TITLE_IST_PUB="","",TITLE_IST_PUB),TITLE_IST_PUB_CHANGE)</f>
        <v/>
      </c>
      <c r="W32" s="1280"/>
      <c r="X32" s="1280"/>
      <c r="Y32" s="1280"/>
      <c r="Z32" s="1280"/>
      <c r="AA32" s="1280"/>
      <c r="AB32" s="1280"/>
      <c r="AC32" s="9"/>
      <c r="AD32" s="1280" t="str">
        <f>IF(TITLE_IST_PUB_CHANGE="",IF(TITLE_IST_PUB="","",TITLE_IST_PUB),TITLE_IST_PUB_CHANGE)</f>
        <v/>
      </c>
      <c r="AE32" s="1280"/>
      <c r="AF32" s="1280"/>
      <c r="AG32" s="1280"/>
      <c r="AH32" s="1280"/>
      <c r="AI32" s="1280"/>
      <c r="AJ32" s="1280"/>
      <c r="AK32" s="9"/>
      <c r="AL32" s="9"/>
      <c r="AM32" s="162"/>
      <c r="AN32" s="66"/>
      <c r="AO32" s="66"/>
      <c r="AP32" s="66"/>
      <c r="AQ32" s="66"/>
      <c r="AR32" s="66"/>
    </row>
    <row r="33" spans="1:44" ht="14.25" hidden="1" customHeight="1">
      <c r="Q33" s="27"/>
      <c r="R33" s="27"/>
      <c r="S33" s="764"/>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4"/>
      <c r="M34" s="79"/>
      <c r="N34" s="79"/>
      <c r="O34" s="79"/>
      <c r="S34" s="1278" t="s">
        <v>496</v>
      </c>
      <c r="T34" s="1278"/>
      <c r="U34" s="797"/>
      <c r="V34" s="1279" t="str">
        <f>IF(TITLE_DATE_CHANGE_PERIOD="",IF(TITLE_DATE_PR="","",TITLE_DATE_PR),TITLE_DATE_CHANGE_PERIOD)</f>
        <v/>
      </c>
      <c r="W34" s="1279"/>
      <c r="X34" s="1279"/>
      <c r="Y34" s="1279"/>
      <c r="Z34" s="1279"/>
      <c r="AA34" s="1279"/>
      <c r="AB34" s="1279"/>
      <c r="AC34" s="9"/>
      <c r="AD34" s="1279" t="str">
        <f>IF(TITLE_DATE_CHANGE_PERIOD="",IF(TITLE_DATE_PR="","",TITLE_DATE_PR),TITLE_DATE_CHANGE_PERIOD)</f>
        <v/>
      </c>
      <c r="AE34" s="1279"/>
      <c r="AF34" s="1279"/>
      <c r="AG34" s="1279"/>
      <c r="AH34" s="1279"/>
      <c r="AI34" s="1279"/>
      <c r="AJ34" s="1279"/>
      <c r="AK34" s="9"/>
      <c r="AL34" s="9"/>
      <c r="AM34" s="162"/>
      <c r="AN34" s="66"/>
      <c r="AO34" s="66"/>
      <c r="AP34" s="66"/>
      <c r="AQ34" s="66"/>
      <c r="AR34" s="66"/>
    </row>
    <row r="35" spans="1:44" s="33" customFormat="1" ht="25.5" hidden="1" customHeight="1">
      <c r="A35" s="79"/>
      <c r="B35" s="79"/>
      <c r="C35" s="79"/>
      <c r="D35" s="79"/>
      <c r="E35" s="79"/>
      <c r="F35" s="79"/>
      <c r="G35" s="79"/>
      <c r="H35" s="79"/>
      <c r="I35" s="79"/>
      <c r="J35" s="79"/>
      <c r="K35" s="79"/>
      <c r="L35" s="794"/>
      <c r="M35" s="79"/>
      <c r="N35" s="79"/>
      <c r="O35" s="79"/>
      <c r="S35" s="1278" t="s">
        <v>497</v>
      </c>
      <c r="T35" s="1278"/>
      <c r="U35" s="797"/>
      <c r="V35" s="1280" t="str">
        <f>IF(TITLE_NUMBER_PR_CHANGE="",IF(TITLE_NUMBER_PR="","",TITLE_NUMBER_PR),TITLE_NUMBER_PR_CHANGE)</f>
        <v/>
      </c>
      <c r="W35" s="1280"/>
      <c r="X35" s="1280"/>
      <c r="Y35" s="1280"/>
      <c r="Z35" s="1280"/>
      <c r="AA35" s="1280"/>
      <c r="AB35" s="1280"/>
      <c r="AC35" s="9"/>
      <c r="AD35" s="1280" t="str">
        <f>IF(TITLE_NUMBER_PR_CHANGE="",IF(TITLE_NUMBER_PR="","",TITLE_NUMBER_PR),TITLE_NUMBER_PR_CHANGE)</f>
        <v/>
      </c>
      <c r="AE35" s="1280"/>
      <c r="AF35" s="1280"/>
      <c r="AG35" s="1280"/>
      <c r="AH35" s="1280"/>
      <c r="AI35" s="1280"/>
      <c r="AJ35" s="1280"/>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4"/>
      <c r="M36" s="79"/>
      <c r="N36" s="79"/>
      <c r="O36" s="79"/>
      <c r="S36" s="9"/>
      <c r="T36" s="9"/>
      <c r="U36" s="75"/>
      <c r="V36" s="9"/>
      <c r="W36" s="9"/>
      <c r="X36" s="9"/>
      <c r="Y36" s="9"/>
      <c r="Z36" s="9"/>
      <c r="AA36" s="9"/>
      <c r="AB36" s="9"/>
      <c r="AC36" s="65" t="s">
        <v>498</v>
      </c>
      <c r="AD36" s="9"/>
      <c r="AE36" s="9"/>
      <c r="AF36" s="9"/>
      <c r="AG36" s="9"/>
      <c r="AH36" s="9"/>
      <c r="AI36" s="9"/>
      <c r="AJ36" s="9"/>
      <c r="AK36" s="65" t="s">
        <v>498</v>
      </c>
      <c r="AN36" s="66"/>
      <c r="AO36" s="66"/>
      <c r="AP36" s="66"/>
      <c r="AQ36" s="66"/>
      <c r="AR36" s="66"/>
    </row>
    <row r="37" spans="1:44" ht="14.25" customHeight="1">
      <c r="Q37" s="27"/>
      <c r="R37" s="27"/>
      <c r="S37" s="764"/>
      <c r="T37" s="8"/>
      <c r="U37" s="736"/>
      <c r="V37" s="1298"/>
      <c r="W37" s="1298"/>
      <c r="X37" s="1298"/>
      <c r="Y37" s="1298"/>
      <c r="Z37" s="1298"/>
      <c r="AA37" s="1298"/>
      <c r="AB37" s="1298"/>
      <c r="AC37" s="1298"/>
      <c r="AD37" s="1298"/>
      <c r="AE37" s="1298"/>
      <c r="AF37" s="1298"/>
      <c r="AG37" s="1298"/>
      <c r="AH37" s="1298"/>
      <c r="AI37" s="1298"/>
      <c r="AJ37" s="1298"/>
      <c r="AK37" s="1298"/>
    </row>
    <row r="38" spans="1:44" ht="14.25" customHeight="1">
      <c r="Q38" s="27"/>
      <c r="R38" s="27"/>
      <c r="S38" s="1082" t="s">
        <v>302</v>
      </c>
      <c r="T38" s="1082"/>
      <c r="U38" s="1082"/>
      <c r="V38" s="1082"/>
      <c r="W38" s="1082"/>
      <c r="X38" s="1082"/>
      <c r="Y38" s="1082"/>
      <c r="Z38" s="1082"/>
      <c r="AA38" s="1082"/>
      <c r="AB38" s="1082"/>
      <c r="AC38" s="1082"/>
      <c r="AD38" s="1082"/>
      <c r="AE38" s="1082"/>
      <c r="AF38" s="1082"/>
      <c r="AG38" s="1082"/>
      <c r="AH38" s="1082"/>
      <c r="AI38" s="1082"/>
      <c r="AJ38" s="1082"/>
      <c r="AK38" s="1082"/>
      <c r="AL38" s="1082"/>
      <c r="AM38" s="1082" t="s">
        <v>303</v>
      </c>
    </row>
    <row r="39" spans="1:44" ht="14.25" customHeight="1">
      <c r="Q39" s="27"/>
      <c r="R39" s="27"/>
      <c r="S39" s="1299" t="s">
        <v>88</v>
      </c>
      <c r="T39" s="1176" t="s">
        <v>499</v>
      </c>
      <c r="U39" s="171"/>
      <c r="V39" s="1300" t="s">
        <v>500</v>
      </c>
      <c r="W39" s="1301"/>
      <c r="X39" s="1301"/>
      <c r="Y39" s="1301"/>
      <c r="Z39" s="1301"/>
      <c r="AA39" s="1301"/>
      <c r="AB39" s="1302"/>
      <c r="AC39" s="1303" t="s">
        <v>501</v>
      </c>
      <c r="AD39" s="1300" t="s">
        <v>500</v>
      </c>
      <c r="AE39" s="1301"/>
      <c r="AF39" s="1301"/>
      <c r="AG39" s="1301"/>
      <c r="AH39" s="1301"/>
      <c r="AI39" s="1301"/>
      <c r="AJ39" s="1302"/>
      <c r="AK39" s="1303" t="s">
        <v>502</v>
      </c>
      <c r="AL39" s="1306" t="s">
        <v>503</v>
      </c>
      <c r="AM39" s="1082"/>
    </row>
    <row r="40" spans="1:44" ht="33.75" customHeight="1">
      <c r="Q40" s="27"/>
      <c r="R40" s="27"/>
      <c r="S40" s="1299"/>
      <c r="T40" s="1176"/>
      <c r="U40" s="621"/>
      <c r="V40" s="1145" t="s">
        <v>504</v>
      </c>
      <c r="W40" s="1295"/>
      <c r="X40" s="1063" t="s">
        <v>506</v>
      </c>
      <c r="Y40" s="1062"/>
      <c r="Z40" s="1063" t="s">
        <v>507</v>
      </c>
      <c r="AA40" s="1068"/>
      <c r="AB40" s="1062"/>
      <c r="AC40" s="1304"/>
      <c r="AD40" s="1145" t="s">
        <v>504</v>
      </c>
      <c r="AE40" s="1295"/>
      <c r="AF40" s="1063" t="s">
        <v>506</v>
      </c>
      <c r="AG40" s="1062"/>
      <c r="AH40" s="1063" t="s">
        <v>507</v>
      </c>
      <c r="AI40" s="1068"/>
      <c r="AJ40" s="1062"/>
      <c r="AK40" s="1304"/>
      <c r="AL40" s="1307"/>
      <c r="AM40" s="1082"/>
    </row>
    <row r="41" spans="1:44" ht="33.75" customHeight="1">
      <c r="A41" s="79"/>
      <c r="B41" s="79" t="s">
        <v>151</v>
      </c>
      <c r="C41" s="79" t="s">
        <v>152</v>
      </c>
      <c r="D41" s="79" t="s">
        <v>153</v>
      </c>
      <c r="E41" s="794" t="s">
        <v>508</v>
      </c>
      <c r="F41" s="794" t="s">
        <v>509</v>
      </c>
      <c r="G41" s="794" t="s">
        <v>510</v>
      </c>
      <c r="H41" s="794" t="s">
        <v>511</v>
      </c>
      <c r="I41" s="794" t="s">
        <v>512</v>
      </c>
      <c r="J41" s="794" t="s">
        <v>513</v>
      </c>
      <c r="K41" s="794" t="s">
        <v>514</v>
      </c>
      <c r="L41" s="794" t="s">
        <v>489</v>
      </c>
      <c r="Q41" s="27"/>
      <c r="R41" s="27"/>
      <c r="S41" s="1299"/>
      <c r="T41" s="1176"/>
      <c r="U41" s="172"/>
      <c r="V41" s="1200"/>
      <c r="W41" s="1296"/>
      <c r="X41" s="37" t="s">
        <v>515</v>
      </c>
      <c r="Y41" s="37" t="s">
        <v>516</v>
      </c>
      <c r="Z41" s="37" t="s">
        <v>517</v>
      </c>
      <c r="AA41" s="1182" t="s">
        <v>518</v>
      </c>
      <c r="AB41" s="1195"/>
      <c r="AC41" s="1305"/>
      <c r="AD41" s="1200"/>
      <c r="AE41" s="1296"/>
      <c r="AF41" s="37" t="s">
        <v>515</v>
      </c>
      <c r="AG41" s="37" t="s">
        <v>516</v>
      </c>
      <c r="AH41" s="37" t="s">
        <v>517</v>
      </c>
      <c r="AI41" s="1182" t="s">
        <v>518</v>
      </c>
      <c r="AJ41" s="1195"/>
      <c r="AK41" s="1305"/>
      <c r="AL41" s="1308"/>
      <c r="AM41" s="1082"/>
    </row>
    <row r="42" spans="1:44" s="209" customFormat="1" ht="11.25" hidden="1" customHeight="1">
      <c r="A42" s="79"/>
      <c r="B42" s="79"/>
      <c r="C42" s="79"/>
      <c r="D42" s="79"/>
      <c r="E42" s="79"/>
      <c r="F42" s="79"/>
      <c r="G42" s="79"/>
      <c r="H42" s="79"/>
      <c r="I42" s="79"/>
      <c r="J42" s="79"/>
      <c r="K42" s="79"/>
      <c r="L42" s="794"/>
      <c r="M42" s="519"/>
      <c r="N42" s="519"/>
      <c r="O42" s="519"/>
      <c r="P42" s="738"/>
      <c r="Q42" s="739"/>
      <c r="R42" s="747">
        <v>1</v>
      </c>
      <c r="S42" s="766" t="s">
        <v>119</v>
      </c>
      <c r="T42" s="748" t="s">
        <v>103</v>
      </c>
      <c r="U42" s="737" t="str">
        <f ca="1">OFFSET(U42,0,-1)</f>
        <v>2</v>
      </c>
      <c r="V42" s="749">
        <f ca="1">OFFSET(V42,0,-1)+1</f>
        <v>3</v>
      </c>
      <c r="W42" s="749"/>
      <c r="X42" s="749">
        <f ca="1">OFFSET(X42,0,-1)+1</f>
        <v>1</v>
      </c>
      <c r="Y42" s="749">
        <f ca="1">OFFSET(Y42,0,-1)+1</f>
        <v>2</v>
      </c>
      <c r="Z42" s="749">
        <f ca="1">OFFSET(Z42,0,-1)+1</f>
        <v>3</v>
      </c>
      <c r="AA42" s="1297">
        <f ca="1">OFFSET(AA42,0,-1)+1</f>
        <v>4</v>
      </c>
      <c r="AB42" s="1297"/>
      <c r="AC42" s="749">
        <f ca="1">OFFSET(AC42,0,-2)+1</f>
        <v>5</v>
      </c>
      <c r="AD42" s="749">
        <f ca="1">OFFSET(AD42,0,-1)+1</f>
        <v>6</v>
      </c>
      <c r="AE42" s="749"/>
      <c r="AF42" s="749">
        <f ca="1">OFFSET(AF42,0,-1)+1</f>
        <v>1</v>
      </c>
      <c r="AG42" s="749">
        <f ca="1">OFFSET(AG42,0,-1)+1</f>
        <v>2</v>
      </c>
      <c r="AH42" s="749">
        <f ca="1">OFFSET(AH42,0,-1)+1</f>
        <v>3</v>
      </c>
      <c r="AI42" s="1297">
        <f ca="1">OFFSET(AI42,0,-1)+1</f>
        <v>4</v>
      </c>
      <c r="AJ42" s="1297"/>
      <c r="AK42" s="749">
        <f ca="1">OFFSET(AK42,0,-2)+1</f>
        <v>5</v>
      </c>
      <c r="AL42" s="737">
        <f ca="1">OFFSET(AL42,0,-1)</f>
        <v>5</v>
      </c>
      <c r="AM42" s="749">
        <f ca="1">OFFSET(AM42,0,-1)+1</f>
        <v>6</v>
      </c>
      <c r="AN42" s="65"/>
      <c r="AO42" s="65"/>
      <c r="AP42" s="65"/>
      <c r="AQ42" s="65"/>
      <c r="AR42" s="65"/>
    </row>
    <row r="43" spans="1:44" ht="21" customHeight="1">
      <c r="A43" s="793" t="s">
        <v>202</v>
      </c>
      <c r="B43" s="793"/>
      <c r="C43" s="793"/>
      <c r="D43" s="793"/>
      <c r="E43" s="1287">
        <v>1</v>
      </c>
      <c r="F43" s="793"/>
      <c r="G43" s="793"/>
      <c r="H43" s="793"/>
      <c r="I43" s="793"/>
      <c r="J43" s="793"/>
      <c r="K43" s="793"/>
      <c r="L43" s="794"/>
      <c r="M43" s="433"/>
      <c r="N43" s="433"/>
      <c r="O43" s="433"/>
      <c r="Q43" s="2"/>
      <c r="R43" s="213"/>
      <c r="S43" s="725">
        <f>INDEX(PT_DIFFERENTIATION_NUM_NTAR,MATCH(A43,PT_DIFFERENTIATION_NTAR_ID,0))</f>
        <v>0</v>
      </c>
      <c r="T43" s="64" t="s">
        <v>139</v>
      </c>
      <c r="U43" s="170"/>
      <c r="V43" s="1281"/>
      <c r="W43" s="1282"/>
      <c r="X43" s="1282"/>
      <c r="Y43" s="1282"/>
      <c r="Z43" s="1282"/>
      <c r="AA43" s="1282"/>
      <c r="AB43" s="1282"/>
      <c r="AC43" s="1283"/>
      <c r="AD43" s="1281" t="str">
        <f>INDEX(PT_DIFFERENTIATION_NTAR,MATCH(A43,PT_DIFFERENTIATION_NTAR_ID,0))</f>
        <v/>
      </c>
      <c r="AE43" s="1282"/>
      <c r="AF43" s="1282"/>
      <c r="AG43" s="1282"/>
      <c r="AH43" s="1282"/>
      <c r="AI43" s="1282"/>
      <c r="AJ43" s="1282"/>
      <c r="AK43" s="1282"/>
      <c r="AL43" s="1283"/>
      <c r="AM43" s="75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3" t="s">
        <v>202</v>
      </c>
      <c r="B44" s="793" t="s">
        <v>203</v>
      </c>
      <c r="C44" s="793"/>
      <c r="D44" s="793"/>
      <c r="E44" s="1288"/>
      <c r="F44" s="1287">
        <v>1</v>
      </c>
      <c r="G44" s="793"/>
      <c r="H44" s="793"/>
      <c r="I44" s="793"/>
      <c r="J44" s="793"/>
      <c r="K44" s="793"/>
      <c r="L44" s="794"/>
      <c r="M44" s="433"/>
      <c r="N44" s="433"/>
      <c r="O44" s="433"/>
      <c r="P44" s="56"/>
      <c r="Q44" s="210"/>
      <c r="R44" s="211"/>
      <c r="S44" s="725" t="str">
        <f>INDEX(PT_DIFFERENTIATION_NUM_TER,MATCH(B44,PT_DIFFERENTIATION_TER_ID,0))</f>
        <v>.</v>
      </c>
      <c r="T44" s="178" t="s">
        <v>471</v>
      </c>
      <c r="U44" s="170"/>
      <c r="V44" s="1281"/>
      <c r="W44" s="1282"/>
      <c r="X44" s="1282"/>
      <c r="Y44" s="1282"/>
      <c r="Z44" s="1282"/>
      <c r="AA44" s="1282"/>
      <c r="AB44" s="1282"/>
      <c r="AC44" s="1283"/>
      <c r="AD44" s="1281" t="str">
        <f>INDEX(PT_DIFFERENTIATION_TER,MATCH(B44,PT_DIFFERENTIATION_TER_ID,0))</f>
        <v/>
      </c>
      <c r="AE44" s="1282"/>
      <c r="AF44" s="1282"/>
      <c r="AG44" s="1282"/>
      <c r="AH44" s="1282"/>
      <c r="AI44" s="1282"/>
      <c r="AJ44" s="1282"/>
      <c r="AK44" s="1282"/>
      <c r="AL44" s="1283"/>
      <c r="AM44" s="753" t="s">
        <v>472</v>
      </c>
      <c r="AO44" s="66"/>
      <c r="AP44" s="66" t="str">
        <f t="shared" si="1"/>
        <v>Территория действия тарифа</v>
      </c>
      <c r="AQ44" s="66"/>
      <c r="AR44" s="66"/>
    </row>
    <row r="45" spans="1:44" ht="23.25" customHeight="1">
      <c r="A45" s="793" t="s">
        <v>202</v>
      </c>
      <c r="B45" s="793" t="s">
        <v>203</v>
      </c>
      <c r="C45" s="793" t="s">
        <v>204</v>
      </c>
      <c r="D45" s="793"/>
      <c r="E45" s="1288"/>
      <c r="F45" s="1288"/>
      <c r="G45" s="1287">
        <v>1</v>
      </c>
      <c r="H45" s="793"/>
      <c r="I45" s="793"/>
      <c r="J45" s="793"/>
      <c r="K45" s="793"/>
      <c r="L45" s="794"/>
      <c r="M45" s="433"/>
      <c r="N45" s="433"/>
      <c r="O45" s="433"/>
      <c r="P45" s="212"/>
      <c r="Q45" s="210"/>
      <c r="R45" s="211"/>
      <c r="S45" s="725" t="str">
        <f>INDEX(PT_DIFFERENTIATION_NUM_CS,MATCH(C45,PT_DIFFERENTIATION_CS_ID,0))</f>
        <v>..</v>
      </c>
      <c r="T45" s="179" t="s">
        <v>473</v>
      </c>
      <c r="U45" s="170"/>
      <c r="V45" s="1281"/>
      <c r="W45" s="1282"/>
      <c r="X45" s="1282"/>
      <c r="Y45" s="1282"/>
      <c r="Z45" s="1282"/>
      <c r="AA45" s="1282"/>
      <c r="AB45" s="1282"/>
      <c r="AC45" s="1283"/>
      <c r="AD45" s="1281" t="str">
        <f>INDEX(PT_DIFFERENTIATION_CS,MATCH(C45,PT_DIFFERENTIATION_CS_ID,0))</f>
        <v/>
      </c>
      <c r="AE45" s="1282"/>
      <c r="AF45" s="1282"/>
      <c r="AG45" s="1282"/>
      <c r="AH45" s="1282"/>
      <c r="AI45" s="1282"/>
      <c r="AJ45" s="1282"/>
      <c r="AK45" s="1282"/>
      <c r="AL45" s="1283"/>
      <c r="AM45" s="753" t="s">
        <v>474</v>
      </c>
      <c r="AO45" s="66"/>
      <c r="AP45" s="66" t="str">
        <f t="shared" si="1"/>
        <v xml:space="preserve">Наименование системы теплоснабжения </v>
      </c>
      <c r="AQ45" s="66"/>
      <c r="AR45" s="66"/>
    </row>
    <row r="46" spans="1:44" ht="21" customHeight="1">
      <c r="A46" s="793" t="s">
        <v>202</v>
      </c>
      <c r="B46" s="793" t="s">
        <v>203</v>
      </c>
      <c r="C46" s="793" t="s">
        <v>204</v>
      </c>
      <c r="D46" s="793" t="s">
        <v>205</v>
      </c>
      <c r="E46" s="1288"/>
      <c r="F46" s="1288"/>
      <c r="G46" s="1288"/>
      <c r="H46" s="1287">
        <v>1</v>
      </c>
      <c r="I46" s="793"/>
      <c r="J46" s="793"/>
      <c r="K46" s="793"/>
      <c r="L46" s="794"/>
      <c r="M46" s="433"/>
      <c r="N46" s="433"/>
      <c r="O46" s="433"/>
      <c r="P46" s="212"/>
      <c r="Q46" s="210"/>
      <c r="R46" s="211"/>
      <c r="S46" s="725" t="str">
        <f>INDEX(PT_DIFFERENTIATION_NUM_IST_TE,MATCH(D46,PT_DIFFERENTIATION_IST_TE_ID,0))</f>
        <v>...</v>
      </c>
      <c r="T46" s="180" t="s">
        <v>475</v>
      </c>
      <c r="U46" s="170"/>
      <c r="V46" s="1281"/>
      <c r="W46" s="1282"/>
      <c r="X46" s="1282"/>
      <c r="Y46" s="1282"/>
      <c r="Z46" s="1282"/>
      <c r="AA46" s="1282"/>
      <c r="AB46" s="1282"/>
      <c r="AC46" s="1283"/>
      <c r="AD46" s="1281" t="str">
        <f>INDEX(PT_DIFFERENTIATION_IST_TE,MATCH(D46,PT_DIFFERENTIATION_IST_TE_ID,0))</f>
        <v/>
      </c>
      <c r="AE46" s="1282"/>
      <c r="AF46" s="1282"/>
      <c r="AG46" s="1282"/>
      <c r="AH46" s="1282"/>
      <c r="AI46" s="1282"/>
      <c r="AJ46" s="1282"/>
      <c r="AK46" s="1282"/>
      <c r="AL46" s="1283"/>
      <c r="AM46" s="753" t="s">
        <v>476</v>
      </c>
      <c r="AO46" s="66"/>
      <c r="AP46" s="66" t="str">
        <f t="shared" si="1"/>
        <v xml:space="preserve">Источник тепловой энергии  </v>
      </c>
      <c r="AQ46" s="66"/>
      <c r="AR46" s="66"/>
    </row>
    <row r="47" spans="1:44" s="65" customFormat="1" ht="0" hidden="1" customHeight="1">
      <c r="A47" s="142" t="s">
        <v>202</v>
      </c>
      <c r="B47" s="142" t="s">
        <v>203</v>
      </c>
      <c r="C47" s="142" t="s">
        <v>204</v>
      </c>
      <c r="D47" s="142" t="s">
        <v>205</v>
      </c>
      <c r="E47" s="1288"/>
      <c r="F47" s="1288"/>
      <c r="G47" s="1288"/>
      <c r="H47" s="1288"/>
      <c r="I47" s="1289" t="str">
        <f>S46&amp;".1"</f>
        <v>....1</v>
      </c>
      <c r="J47" s="142"/>
      <c r="K47" s="142"/>
      <c r="L47" s="355" t="s">
        <v>477</v>
      </c>
      <c r="M47" s="228"/>
      <c r="N47" s="228"/>
      <c r="O47" s="228"/>
      <c r="P47" s="1211">
        <v>1</v>
      </c>
      <c r="Q47" s="119"/>
      <c r="R47" s="214"/>
      <c r="S47" s="371"/>
      <c r="T47" s="803"/>
      <c r="U47" s="804"/>
      <c r="V47" s="1316"/>
      <c r="W47" s="1317"/>
      <c r="X47" s="1317"/>
      <c r="Y47" s="1317"/>
      <c r="Z47" s="1317"/>
      <c r="AA47" s="1317"/>
      <c r="AB47" s="1317"/>
      <c r="AC47" s="1318"/>
      <c r="AD47" s="1316"/>
      <c r="AE47" s="1317"/>
      <c r="AF47" s="1317"/>
      <c r="AG47" s="1317"/>
      <c r="AH47" s="1317"/>
      <c r="AI47" s="1317"/>
      <c r="AJ47" s="1317"/>
      <c r="AK47" s="1317"/>
      <c r="AL47" s="1318"/>
      <c r="AM47" s="805"/>
      <c r="AO47" s="66"/>
      <c r="AP47" s="66" t="str">
        <f t="shared" si="1"/>
        <v/>
      </c>
      <c r="AQ47" s="66"/>
      <c r="AR47" s="66"/>
    </row>
    <row r="48" spans="1:44" ht="21" customHeight="1">
      <c r="A48" s="793" t="s">
        <v>202</v>
      </c>
      <c r="B48" s="793" t="s">
        <v>203</v>
      </c>
      <c r="C48" s="793" t="s">
        <v>204</v>
      </c>
      <c r="D48" s="793" t="s">
        <v>205</v>
      </c>
      <c r="E48" s="1288"/>
      <c r="F48" s="1288"/>
      <c r="G48" s="1288"/>
      <c r="H48" s="1288"/>
      <c r="I48" s="1290"/>
      <c r="J48" s="1289" t="str">
        <f>S46&amp;".1"</f>
        <v>....1</v>
      </c>
      <c r="K48" s="793"/>
      <c r="L48" s="794" t="s">
        <v>480</v>
      </c>
      <c r="P48" s="1211"/>
      <c r="Q48" s="1211">
        <v>1</v>
      </c>
      <c r="R48" s="215"/>
      <c r="S48" s="725" t="str">
        <f>$J48</f>
        <v>....1</v>
      </c>
      <c r="T48" s="164" t="s">
        <v>481</v>
      </c>
      <c r="U48" s="170"/>
      <c r="V48" s="1275"/>
      <c r="W48" s="1276"/>
      <c r="X48" s="1276"/>
      <c r="Y48" s="1276"/>
      <c r="Z48" s="1276"/>
      <c r="AA48" s="1276"/>
      <c r="AB48" s="1276"/>
      <c r="AC48" s="1277"/>
      <c r="AD48" s="1275"/>
      <c r="AE48" s="1276"/>
      <c r="AF48" s="1276"/>
      <c r="AG48" s="1276"/>
      <c r="AH48" s="1276"/>
      <c r="AI48" s="1276"/>
      <c r="AJ48" s="1276"/>
      <c r="AK48" s="1276"/>
      <c r="AL48" s="1277"/>
      <c r="AM48" s="753" t="s">
        <v>482</v>
      </c>
      <c r="AO48" s="66"/>
      <c r="AP48" s="66" t="str">
        <f t="shared" si="1"/>
        <v>Группа потребителей</v>
      </c>
      <c r="AQ48" s="66"/>
      <c r="AR48" s="66"/>
    </row>
    <row r="49" spans="1:44" ht="21" customHeight="1">
      <c r="A49" s="793" t="s">
        <v>202</v>
      </c>
      <c r="B49" s="793" t="s">
        <v>203</v>
      </c>
      <c r="C49" s="793" t="s">
        <v>204</v>
      </c>
      <c r="D49" s="793" t="s">
        <v>205</v>
      </c>
      <c r="E49" s="1288"/>
      <c r="F49" s="1288"/>
      <c r="G49" s="1288"/>
      <c r="H49" s="1288"/>
      <c r="I49" s="1290"/>
      <c r="J49" s="1290"/>
      <c r="K49" s="1289" t="str">
        <f>J48&amp;".1"</f>
        <v>....1.1</v>
      </c>
      <c r="L49" s="794" t="s">
        <v>483</v>
      </c>
      <c r="P49" s="1211"/>
      <c r="Q49" s="1211"/>
      <c r="R49" s="215">
        <v>1</v>
      </c>
      <c r="S49" s="725" t="str">
        <f>$K49</f>
        <v>....1.1</v>
      </c>
      <c r="T49" s="789"/>
      <c r="U49" s="170"/>
      <c r="V49" s="317"/>
      <c r="W49" s="196"/>
      <c r="X49" s="317"/>
      <c r="Y49" s="752"/>
      <c r="Z49" s="1291"/>
      <c r="AA49" s="1092" t="s">
        <v>59</v>
      </c>
      <c r="AB49" s="1291"/>
      <c r="AC49" s="1092" t="s">
        <v>59</v>
      </c>
      <c r="AD49" s="317"/>
      <c r="AE49" s="196"/>
      <c r="AF49" s="317"/>
      <c r="AG49" s="752"/>
      <c r="AH49" s="1291"/>
      <c r="AI49" s="1092" t="s">
        <v>59</v>
      </c>
      <c r="AJ49" s="1293"/>
      <c r="AK49" s="1092" t="s">
        <v>59</v>
      </c>
      <c r="AL49" s="790"/>
      <c r="AM49" s="1309" t="s">
        <v>527</v>
      </c>
      <c r="AN49" s="65" t="e">
        <f ca="1">STRCHECKDATE(V50:AL50)</f>
        <v>#NAME?</v>
      </c>
      <c r="AO49" s="66"/>
      <c r="AP49" s="66" t="str">
        <f t="shared" si="1"/>
        <v/>
      </c>
      <c r="AQ49" s="66"/>
      <c r="AR49" s="66"/>
    </row>
    <row r="50" spans="1:44" ht="0" hidden="1" customHeight="1">
      <c r="A50" s="793" t="s">
        <v>202</v>
      </c>
      <c r="B50" s="793" t="s">
        <v>203</v>
      </c>
      <c r="C50" s="793" t="s">
        <v>204</v>
      </c>
      <c r="D50" s="793" t="s">
        <v>205</v>
      </c>
      <c r="E50" s="1288"/>
      <c r="F50" s="1288"/>
      <c r="G50" s="1288"/>
      <c r="H50" s="1288"/>
      <c r="I50" s="1290"/>
      <c r="J50" s="1290"/>
      <c r="K50" s="1289"/>
      <c r="L50" s="794"/>
      <c r="P50" s="1211"/>
      <c r="Q50" s="1211"/>
      <c r="R50" s="215"/>
      <c r="S50" s="62"/>
      <c r="T50" s="170"/>
      <c r="U50" s="170"/>
      <c r="V50" s="196"/>
      <c r="W50" s="196"/>
      <c r="X50" s="196"/>
      <c r="Y50" s="198" t="str">
        <f>Z49&amp;"-"&amp;AB49</f>
        <v>-</v>
      </c>
      <c r="Z50" s="1292"/>
      <c r="AA50" s="1092"/>
      <c r="AB50" s="1292"/>
      <c r="AC50" s="1092"/>
      <c r="AD50" s="196"/>
      <c r="AE50" s="196"/>
      <c r="AF50" s="196"/>
      <c r="AG50" s="198" t="str">
        <f>AH49&amp;"-"&amp;AJ49</f>
        <v>-</v>
      </c>
      <c r="AH50" s="1292"/>
      <c r="AI50" s="1092"/>
      <c r="AJ50" s="1294"/>
      <c r="AK50" s="1092"/>
      <c r="AL50" s="791"/>
      <c r="AM50" s="1310"/>
      <c r="AO50" s="66"/>
      <c r="AP50" s="66" t="str">
        <f t="shared" si="1"/>
        <v/>
      </c>
      <c r="AQ50" s="66"/>
      <c r="AR50" s="66"/>
    </row>
    <row r="51" spans="1:44" ht="11.25" customHeight="1">
      <c r="A51" s="793" t="s">
        <v>202</v>
      </c>
      <c r="B51" s="793" t="s">
        <v>203</v>
      </c>
      <c r="C51" s="793" t="s">
        <v>204</v>
      </c>
      <c r="D51" s="793" t="s">
        <v>205</v>
      </c>
      <c r="E51" s="1288"/>
      <c r="F51" s="1288"/>
      <c r="G51" s="1288"/>
      <c r="H51" s="1288"/>
      <c r="I51" s="1290"/>
      <c r="J51" s="1289"/>
      <c r="K51" s="793"/>
      <c r="L51" s="794"/>
      <c r="P51" s="1211"/>
      <c r="Q51" s="1211"/>
      <c r="R51" s="214"/>
      <c r="S51" s="767"/>
      <c r="T51" s="165" t="s">
        <v>485</v>
      </c>
      <c r="U51" s="221"/>
      <c r="V51" s="221"/>
      <c r="W51" s="221"/>
      <c r="X51" s="221"/>
      <c r="Y51" s="221"/>
      <c r="Z51" s="221"/>
      <c r="AA51" s="221"/>
      <c r="AB51" s="221"/>
      <c r="AC51" s="221"/>
      <c r="AD51" s="221"/>
      <c r="AE51" s="221"/>
      <c r="AF51" s="221"/>
      <c r="AG51" s="221"/>
      <c r="AH51" s="221"/>
      <c r="AI51" s="221"/>
      <c r="AJ51" s="221"/>
      <c r="AK51" s="221"/>
      <c r="AL51" s="195"/>
      <c r="AM51" s="1311"/>
      <c r="AO51" s="66"/>
      <c r="AP51" s="66" t="str">
        <f t="shared" si="1"/>
        <v>Добавить вид теплоносителя (параметры теплоносителя)</v>
      </c>
      <c r="AQ51" s="66"/>
      <c r="AR51" s="66"/>
    </row>
    <row r="52" spans="1:44" ht="11.25" customHeight="1">
      <c r="A52" s="793" t="s">
        <v>202</v>
      </c>
      <c r="B52" s="793" t="s">
        <v>203</v>
      </c>
      <c r="C52" s="793" t="s">
        <v>204</v>
      </c>
      <c r="D52" s="793" t="s">
        <v>205</v>
      </c>
      <c r="E52" s="1288"/>
      <c r="F52" s="1288"/>
      <c r="G52" s="1288"/>
      <c r="H52" s="1288"/>
      <c r="I52" s="1289"/>
      <c r="J52" s="793"/>
      <c r="K52" s="793"/>
      <c r="L52" s="794"/>
      <c r="P52" s="1211"/>
      <c r="Q52" s="119"/>
      <c r="R52" s="214"/>
      <c r="S52" s="767"/>
      <c r="T52" s="219" t="s">
        <v>486</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3" t="s">
        <v>202</v>
      </c>
      <c r="B53" s="793" t="s">
        <v>203</v>
      </c>
      <c r="C53" s="793" t="s">
        <v>204</v>
      </c>
      <c r="D53" s="793" t="s">
        <v>205</v>
      </c>
      <c r="E53" s="1288"/>
      <c r="F53" s="1288"/>
      <c r="G53" s="1288"/>
      <c r="H53" s="1287"/>
      <c r="I53" s="793"/>
      <c r="J53" s="793"/>
      <c r="K53" s="793"/>
      <c r="L53" s="794"/>
      <c r="M53" s="433"/>
      <c r="N53" s="433"/>
      <c r="O53" s="60"/>
      <c r="P53" s="2"/>
      <c r="Q53" s="224"/>
      <c r="R53" s="213"/>
      <c r="S53" s="806"/>
      <c r="T53" s="807"/>
      <c r="U53" s="808"/>
      <c r="V53" s="808"/>
      <c r="W53" s="808"/>
      <c r="X53" s="808"/>
      <c r="Y53" s="808"/>
      <c r="Z53" s="808"/>
      <c r="AA53" s="808"/>
      <c r="AB53" s="808"/>
      <c r="AC53" s="808"/>
      <c r="AD53" s="808"/>
      <c r="AE53" s="808"/>
      <c r="AF53" s="808"/>
      <c r="AG53" s="808"/>
      <c r="AH53" s="808"/>
      <c r="AI53" s="808"/>
      <c r="AJ53" s="808"/>
      <c r="AK53" s="808"/>
      <c r="AL53" s="808"/>
      <c r="AM53" s="809"/>
      <c r="AO53" s="66"/>
      <c r="AP53" s="66" t="str">
        <f t="shared" si="1"/>
        <v/>
      </c>
      <c r="AQ53" s="66"/>
      <c r="AR53" s="66"/>
    </row>
    <row r="54" spans="1:44" s="65" customFormat="1" ht="0" hidden="1" customHeight="1">
      <c r="A54" s="142" t="s">
        <v>202</v>
      </c>
      <c r="B54" s="142" t="s">
        <v>203</v>
      </c>
      <c r="C54" s="142" t="s">
        <v>204</v>
      </c>
      <c r="D54" s="142"/>
      <c r="E54" s="1288"/>
      <c r="F54" s="1288"/>
      <c r="G54" s="1287"/>
      <c r="H54" s="142"/>
      <c r="I54" s="142"/>
      <c r="J54" s="142"/>
      <c r="K54" s="142"/>
      <c r="L54" s="355"/>
      <c r="M54" s="304"/>
      <c r="N54" s="304"/>
      <c r="P54" s="101"/>
      <c r="Q54" s="780"/>
      <c r="R54" s="101"/>
      <c r="S54" s="785"/>
      <c r="T54" s="787" t="s">
        <v>444</v>
      </c>
      <c r="U54" s="323"/>
      <c r="V54" s="323"/>
      <c r="W54" s="323"/>
      <c r="X54" s="323"/>
      <c r="Y54" s="323"/>
      <c r="Z54" s="323"/>
      <c r="AA54" s="323"/>
      <c r="AB54" s="323"/>
      <c r="AC54" s="323"/>
      <c r="AD54" s="323"/>
      <c r="AE54" s="323"/>
      <c r="AF54" s="323"/>
      <c r="AG54" s="323"/>
      <c r="AH54" s="323"/>
      <c r="AI54" s="323"/>
      <c r="AJ54" s="323"/>
      <c r="AK54" s="323"/>
      <c r="AL54" s="323"/>
      <c r="AM54" s="323"/>
      <c r="AO54" s="66"/>
      <c r="AP54" s="66" t="str">
        <f t="shared" si="1"/>
        <v>Добавить источник для дифференциации</v>
      </c>
      <c r="AQ54" s="66"/>
      <c r="AR54" s="66"/>
    </row>
    <row r="55" spans="1:44" s="65" customFormat="1" ht="0" hidden="1" customHeight="1">
      <c r="A55" s="142" t="s">
        <v>202</v>
      </c>
      <c r="B55" s="142" t="s">
        <v>203</v>
      </c>
      <c r="C55" s="142"/>
      <c r="D55" s="142"/>
      <c r="E55" s="1288"/>
      <c r="F55" s="1287"/>
      <c r="G55" s="142"/>
      <c r="H55" s="142"/>
      <c r="I55" s="142"/>
      <c r="J55" s="142"/>
      <c r="K55" s="142"/>
      <c r="L55" s="355"/>
      <c r="M55" s="784"/>
      <c r="N55" s="784"/>
      <c r="P55" s="101"/>
      <c r="Q55" s="780"/>
      <c r="R55" s="101"/>
      <c r="S55" s="785"/>
      <c r="T55" s="787" t="s">
        <v>445</v>
      </c>
      <c r="U55" s="323"/>
      <c r="V55" s="323"/>
      <c r="W55" s="323"/>
      <c r="X55" s="323"/>
      <c r="Y55" s="323"/>
      <c r="Z55" s="323"/>
      <c r="AA55" s="323"/>
      <c r="AB55" s="323"/>
      <c r="AC55" s="323"/>
      <c r="AD55" s="323"/>
      <c r="AE55" s="323"/>
      <c r="AF55" s="323"/>
      <c r="AG55" s="323"/>
      <c r="AH55" s="323"/>
      <c r="AI55" s="323"/>
      <c r="AJ55" s="323"/>
      <c r="AK55" s="323"/>
      <c r="AL55" s="323"/>
      <c r="AM55" s="323"/>
      <c r="AO55" s="66"/>
      <c r="AP55" s="66" t="str">
        <f t="shared" si="1"/>
        <v>Добавить централизованную систему для дифференциации</v>
      </c>
      <c r="AQ55" s="66"/>
      <c r="AR55" s="66"/>
    </row>
    <row r="56" spans="1:44" s="65" customFormat="1" ht="0" hidden="1" customHeight="1">
      <c r="A56" s="142" t="s">
        <v>202</v>
      </c>
      <c r="B56" s="142"/>
      <c r="C56" s="142"/>
      <c r="D56" s="142"/>
      <c r="E56" s="1287"/>
      <c r="F56" s="142"/>
      <c r="G56" s="142"/>
      <c r="H56" s="142"/>
      <c r="I56" s="142"/>
      <c r="J56" s="142"/>
      <c r="K56" s="142"/>
      <c r="L56" s="355"/>
      <c r="M56" s="784"/>
      <c r="N56" s="784"/>
      <c r="P56" s="101"/>
      <c r="Q56" s="780"/>
      <c r="R56" s="101"/>
      <c r="S56" s="785"/>
      <c r="T56" s="787" t="s">
        <v>446</v>
      </c>
      <c r="U56" s="323"/>
      <c r="V56" s="323"/>
      <c r="W56" s="323"/>
      <c r="X56" s="323"/>
      <c r="Y56" s="323"/>
      <c r="Z56" s="323"/>
      <c r="AA56" s="323"/>
      <c r="AB56" s="323"/>
      <c r="AC56" s="323"/>
      <c r="AD56" s="323"/>
      <c r="AE56" s="323"/>
      <c r="AF56" s="323"/>
      <c r="AG56" s="323"/>
      <c r="AH56" s="323"/>
      <c r="AI56" s="323"/>
      <c r="AJ56" s="323"/>
      <c r="AK56" s="323"/>
      <c r="AL56" s="323"/>
      <c r="AM56" s="323"/>
      <c r="AO56" s="66"/>
      <c r="AP56" s="66" t="str">
        <f t="shared" si="1"/>
        <v>Добавить территорию для дифференциации</v>
      </c>
      <c r="AQ56" s="66"/>
      <c r="AR56" s="66"/>
    </row>
    <row r="57" spans="1:44" s="65" customFormat="1" ht="5.25" customHeight="1">
      <c r="A57" s="142"/>
      <c r="B57" s="142"/>
      <c r="C57" s="142"/>
      <c r="D57" s="142"/>
      <c r="E57" s="142"/>
      <c r="F57" s="142"/>
      <c r="G57" s="142"/>
      <c r="H57" s="142"/>
      <c r="I57" s="142"/>
      <c r="J57" s="142"/>
      <c r="K57" s="142"/>
      <c r="L57" s="355"/>
      <c r="M57" s="784"/>
      <c r="N57" s="784"/>
      <c r="P57" s="101"/>
      <c r="Q57" s="780"/>
      <c r="R57" s="101"/>
      <c r="S57" s="785"/>
      <c r="T57" s="787" t="s">
        <v>447</v>
      </c>
      <c r="U57" s="323"/>
      <c r="V57" s="323"/>
      <c r="W57" s="323"/>
      <c r="X57" s="323"/>
      <c r="Y57" s="323"/>
      <c r="Z57" s="323"/>
      <c r="AA57" s="323"/>
      <c r="AB57" s="323"/>
      <c r="AC57" s="323"/>
      <c r="AD57" s="323"/>
      <c r="AE57" s="323"/>
      <c r="AF57" s="323"/>
      <c r="AG57" s="323"/>
      <c r="AH57" s="323"/>
      <c r="AI57" s="323"/>
      <c r="AJ57" s="323"/>
      <c r="AK57" s="323"/>
      <c r="AL57" s="323"/>
      <c r="AM57" s="323"/>
      <c r="AO57" s="66"/>
      <c r="AP57" s="66" t="str">
        <f t="shared" si="1"/>
        <v>Добавить наименование тарифа</v>
      </c>
      <c r="AQ57" s="66"/>
      <c r="AR57" s="66"/>
    </row>
    <row r="58" spans="1:44" ht="11.25" hidden="1" customHeight="1">
      <c r="M58" s="60"/>
      <c r="N58" s="60"/>
      <c r="O58" s="60"/>
      <c r="P58" s="9"/>
      <c r="Q58" s="9"/>
      <c r="R58" s="9"/>
      <c r="S58" s="9"/>
      <c r="AN58" s="9"/>
      <c r="AO58" s="9"/>
      <c r="AP58" s="9"/>
      <c r="AQ58" s="9"/>
      <c r="AR58" s="9"/>
    </row>
    <row r="59" spans="1:44" ht="14.25" hidden="1" customHeight="1">
      <c r="O59" s="60"/>
      <c r="S59" s="204" t="s">
        <v>519</v>
      </c>
      <c r="T59" s="1286" t="s">
        <v>528</v>
      </c>
      <c r="U59" s="1286"/>
      <c r="V59" s="1286"/>
      <c r="W59" s="1286"/>
      <c r="X59" s="1286"/>
      <c r="Y59" s="1286"/>
      <c r="Z59" s="1286"/>
      <c r="AA59" s="1286"/>
      <c r="AB59" s="1286"/>
      <c r="AC59" s="1286"/>
      <c r="AD59" s="1286"/>
      <c r="AE59" s="1286"/>
      <c r="AF59" s="1286"/>
      <c r="AG59" s="1286"/>
      <c r="AH59" s="1286"/>
      <c r="AI59" s="1286"/>
      <c r="AJ59" s="1286"/>
      <c r="AK59" s="1286"/>
      <c r="AL59" s="1286"/>
      <c r="AM59" s="1286"/>
    </row>
    <row r="60" spans="1:44" ht="14.25" hidden="1" customHeight="1">
      <c r="O60" s="60"/>
      <c r="T60" s="1286" t="s">
        <v>529</v>
      </c>
      <c r="U60" s="1286"/>
      <c r="V60" s="1286"/>
      <c r="W60" s="1286"/>
      <c r="X60" s="1286"/>
      <c r="Y60" s="1286"/>
      <c r="Z60" s="1286"/>
      <c r="AA60" s="1286"/>
      <c r="AB60" s="1286"/>
      <c r="AC60" s="1286"/>
      <c r="AD60" s="1286"/>
      <c r="AE60" s="1286"/>
      <c r="AF60" s="1286"/>
      <c r="AG60" s="1286"/>
      <c r="AH60" s="1286"/>
      <c r="AI60" s="1286"/>
      <c r="AJ60" s="1286"/>
      <c r="AK60" s="1286"/>
      <c r="AL60" s="1286"/>
      <c r="AM60" s="1286"/>
    </row>
    <row r="61" spans="1:44" ht="14.25" hidden="1" customHeight="1">
      <c r="O61" s="60"/>
      <c r="T61" s="1286" t="s">
        <v>530</v>
      </c>
      <c r="U61" s="1286"/>
      <c r="V61" s="1286"/>
      <c r="W61" s="1286"/>
      <c r="X61" s="1286"/>
      <c r="Y61" s="1286"/>
      <c r="Z61" s="1286"/>
      <c r="AA61" s="1286"/>
      <c r="AB61" s="1286"/>
      <c r="AC61" s="1286"/>
      <c r="AD61" s="1286"/>
      <c r="AE61" s="1286"/>
      <c r="AF61" s="1286"/>
      <c r="AG61" s="1286"/>
      <c r="AH61" s="1286"/>
      <c r="AI61" s="1286"/>
      <c r="AJ61" s="1286"/>
      <c r="AK61" s="1286"/>
      <c r="AL61" s="1286"/>
      <c r="AM61" s="1286"/>
    </row>
    <row r="62" spans="1:44" ht="14.25" hidden="1" customHeight="1">
      <c r="O62" s="60"/>
    </row>
    <row r="63" spans="1:44" ht="14.25" hidden="1" customHeight="1">
      <c r="O63" s="60"/>
      <c r="S63" s="204" t="s">
        <v>519</v>
      </c>
      <c r="T63" s="1131" t="s">
        <v>522</v>
      </c>
      <c r="U63" s="1286"/>
      <c r="V63" s="1286"/>
      <c r="W63" s="1286"/>
      <c r="X63" s="1286"/>
      <c r="Y63" s="1286"/>
      <c r="Z63" s="1286"/>
      <c r="AA63" s="1286"/>
      <c r="AB63" s="1286"/>
      <c r="AC63" s="1286"/>
      <c r="AD63" s="1286"/>
      <c r="AE63" s="1286"/>
      <c r="AF63" s="1286"/>
      <c r="AG63" s="1286"/>
      <c r="AH63" s="1286"/>
      <c r="AI63" s="1286"/>
      <c r="AJ63" s="1286"/>
      <c r="AK63" s="1286"/>
      <c r="AL63" s="1286"/>
      <c r="AM63" s="1286"/>
    </row>
    <row r="64" spans="1:44" ht="14.25" hidden="1" customHeight="1">
      <c r="O64" s="60"/>
      <c r="T64" s="1286" t="s">
        <v>531</v>
      </c>
      <c r="U64" s="1286"/>
      <c r="V64" s="1286"/>
      <c r="W64" s="1286"/>
      <c r="X64" s="1286"/>
      <c r="Y64" s="1286"/>
      <c r="Z64" s="1286"/>
      <c r="AA64" s="1286"/>
      <c r="AB64" s="1286"/>
      <c r="AC64" s="1286"/>
      <c r="AD64" s="1286"/>
      <c r="AE64" s="1286"/>
      <c r="AF64" s="1286"/>
      <c r="AG64" s="1286"/>
      <c r="AH64" s="1286"/>
      <c r="AI64" s="1286"/>
      <c r="AJ64" s="1286"/>
      <c r="AK64" s="1286"/>
      <c r="AL64" s="1286"/>
      <c r="AM64" s="1286"/>
    </row>
    <row r="65" spans="20:39" ht="14.25" hidden="1" customHeight="1">
      <c r="T65" s="1286" t="s">
        <v>532</v>
      </c>
      <c r="U65" s="1286"/>
      <c r="V65" s="1286"/>
      <c r="W65" s="1286"/>
      <c r="X65" s="1286"/>
      <c r="Y65" s="1286"/>
      <c r="Z65" s="1286"/>
      <c r="AA65" s="1286"/>
      <c r="AB65" s="1286"/>
      <c r="AC65" s="1286"/>
      <c r="AD65" s="1286"/>
      <c r="AE65" s="1286"/>
      <c r="AF65" s="1286"/>
      <c r="AG65" s="1286"/>
      <c r="AH65" s="1286"/>
      <c r="AI65" s="1286"/>
      <c r="AJ65" s="1286"/>
      <c r="AK65" s="1286"/>
      <c r="AL65" s="1286"/>
      <c r="AM65" s="1286"/>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6011-8E02-E26B-643E-D6DAA49A5596}">
  <sheetPr>
    <tabColor theme="6" tint="0.39997558519241921"/>
  </sheetPr>
  <dimension ref="A1:AV73"/>
  <sheetViews>
    <sheetView showGridLines="0" topLeftCell="R29" zoomScale="90" workbookViewId="0"/>
  </sheetViews>
  <sheetFormatPr defaultColWidth="10.5703125" defaultRowHeight="14.25" customHeight="1"/>
  <cols>
    <col min="1" max="1" width="10.5703125" style="9" hidden="1"/>
    <col min="2" max="2" width="11" style="9" hidden="1" customWidth="1"/>
    <col min="3" max="3" width="10.5703125" style="9" hidden="1"/>
    <col min="4" max="4" width="11.85546875" style="9" hidden="1" customWidth="1"/>
    <col min="5" max="5" width="10" style="9" hidden="1" customWidth="1"/>
    <col min="6" max="6" width="8.7109375" style="9" hidden="1" customWidth="1"/>
    <col min="7" max="7" width="7.5703125" style="9" hidden="1" customWidth="1"/>
    <col min="8" max="8" width="11.42578125" style="9" hidden="1" customWidth="1"/>
    <col min="9" max="9" width="12" style="9" hidden="1" customWidth="1"/>
    <col min="10" max="10" width="9.85546875" style="9" hidden="1" customWidth="1"/>
    <col min="11" max="12" width="11.42578125" style="9" hidden="1" customWidth="1"/>
    <col min="13" max="13" width="19.140625" style="56" hidden="1" customWidth="1"/>
    <col min="14" max="15" width="12.28515625" style="32" hidden="1" customWidth="1"/>
    <col min="16" max="16" width="23.42578125" style="32" hidden="1" customWidth="1"/>
    <col min="17" max="17" width="3.7109375" style="32" hidden="1" customWidth="1"/>
    <col min="18" max="20" width="3.7109375" style="28" customWidth="1"/>
    <col min="21" max="21" width="12.7109375" style="351" customWidth="1"/>
    <col min="22" max="22" width="32" style="9" customWidth="1"/>
    <col min="23" max="23" width="0.140625" style="9" customWidth="1"/>
    <col min="24" max="28" width="21.7109375" style="9" hidden="1" customWidth="1"/>
    <col min="29" max="29" width="11.7109375" style="9" hidden="1" customWidth="1"/>
    <col min="30" max="30" width="3.7109375" style="9" hidden="1" customWidth="1"/>
    <col min="31" max="31" width="11.7109375" style="9" hidden="1" customWidth="1"/>
    <col min="32" max="32" width="8.5703125" style="9" hidden="1" customWidth="1"/>
    <col min="33" max="37" width="21.7109375" style="9" customWidth="1"/>
    <col min="38" max="38" width="11.7109375" style="9" customWidth="1"/>
    <col min="39" max="39" width="3.7109375" style="9" customWidth="1"/>
    <col min="40" max="40" width="11.7109375" style="9" customWidth="1"/>
    <col min="41" max="41" width="8.5703125" style="9" customWidth="1"/>
    <col min="42" max="42" width="4.7109375" style="9" customWidth="1"/>
    <col min="43" max="43" width="115.7109375" style="9" customWidth="1"/>
    <col min="44" max="45" width="10.5703125" style="65"/>
    <col min="46" max="46" width="11.140625" style="65" customWidth="1"/>
    <col min="47" max="48" width="10.5703125" style="65"/>
  </cols>
  <sheetData>
    <row r="1" spans="1:48" ht="14.25" hidden="1" customHeight="1"/>
    <row r="2" spans="1:48" ht="21" hidden="1" customHeight="1">
      <c r="A2" s="756"/>
      <c r="B2" s="756"/>
      <c r="C2" s="756"/>
      <c r="D2" s="756"/>
      <c r="E2" s="1322">
        <v>1</v>
      </c>
      <c r="F2" s="756"/>
      <c r="G2" s="756"/>
      <c r="H2" s="756"/>
      <c r="I2" s="756"/>
      <c r="J2" s="756"/>
      <c r="K2" s="756"/>
      <c r="L2" s="756"/>
      <c r="M2" s="779"/>
      <c r="N2" s="351"/>
      <c r="O2" s="351"/>
      <c r="P2" s="351"/>
      <c r="R2" s="2"/>
      <c r="S2" s="2"/>
      <c r="T2" s="213"/>
      <c r="U2" s="725" t="e">
        <f>INDEX(PT_DIFFERENTIATION_NUM_NTAR,MATCH(A2,PT_DIFFERENTIATION_NTAR_ID,0))</f>
        <v>#N/A</v>
      </c>
      <c r="V2" s="64" t="s">
        <v>139</v>
      </c>
      <c r="W2" s="170"/>
      <c r="X2" s="1281"/>
      <c r="Y2" s="1282"/>
      <c r="Z2" s="1282"/>
      <c r="AA2" s="1282"/>
      <c r="AB2" s="1282"/>
      <c r="AC2" s="1282"/>
      <c r="AD2" s="1282"/>
      <c r="AE2" s="1282"/>
      <c r="AF2" s="1283"/>
      <c r="AG2" s="1281" t="e">
        <f>INDEX(PT_DIFFERENTIATION_NTAR,MATCH(A2,PT_DIFFERENTIATION_NTAR_ID,0))</f>
        <v>#N/A</v>
      </c>
      <c r="AH2" s="1282"/>
      <c r="AI2" s="1282"/>
      <c r="AJ2" s="1282"/>
      <c r="AK2" s="1282"/>
      <c r="AL2" s="1282"/>
      <c r="AM2" s="1282"/>
      <c r="AN2" s="1282"/>
      <c r="AO2" s="1282"/>
      <c r="AP2" s="1283"/>
      <c r="AQ2" s="753" t="s">
        <v>470</v>
      </c>
      <c r="AS2" s="66"/>
      <c r="AT2" s="66" t="str">
        <f t="shared" ref="AT2:AT8" si="0">IF(V2="","",V2)</f>
        <v>Наименование тарифа</v>
      </c>
      <c r="AU2" s="66"/>
      <c r="AV2" s="66"/>
    </row>
    <row r="3" spans="1:48" ht="21" hidden="1" customHeight="1">
      <c r="A3" s="756"/>
      <c r="B3" s="756"/>
      <c r="C3" s="756"/>
      <c r="D3" s="756"/>
      <c r="E3" s="1323"/>
      <c r="F3" s="1322">
        <v>1</v>
      </c>
      <c r="G3" s="756"/>
      <c r="H3" s="756"/>
      <c r="I3" s="756"/>
      <c r="J3" s="756"/>
      <c r="K3" s="756"/>
      <c r="L3" s="756"/>
      <c r="M3" s="779"/>
      <c r="N3" s="351"/>
      <c r="O3" s="351"/>
      <c r="P3" s="351"/>
      <c r="Q3" s="56"/>
      <c r="R3" s="210"/>
      <c r="S3" s="9"/>
      <c r="T3" s="211"/>
      <c r="U3" s="725" t="e">
        <f>INDEX(PT_DIFFERENTIATION_NUM_TER,MATCH(B3,PT_DIFFERENTIATION_TER_ID,0))</f>
        <v>#N/A</v>
      </c>
      <c r="V3" s="178" t="s">
        <v>471</v>
      </c>
      <c r="W3" s="170"/>
      <c r="X3" s="1281"/>
      <c r="Y3" s="1282"/>
      <c r="Z3" s="1282"/>
      <c r="AA3" s="1282"/>
      <c r="AB3" s="1282"/>
      <c r="AC3" s="1282"/>
      <c r="AD3" s="1282"/>
      <c r="AE3" s="1282"/>
      <c r="AF3" s="1283"/>
      <c r="AG3" s="1281" t="e">
        <f>INDEX(PT_DIFFERENTIATION_TER,MATCH(B3,PT_DIFFERENTIATION_TER_ID,0))</f>
        <v>#N/A</v>
      </c>
      <c r="AH3" s="1282"/>
      <c r="AI3" s="1282"/>
      <c r="AJ3" s="1282"/>
      <c r="AK3" s="1282"/>
      <c r="AL3" s="1282"/>
      <c r="AM3" s="1282"/>
      <c r="AN3" s="1282"/>
      <c r="AO3" s="1282"/>
      <c r="AP3" s="1283"/>
      <c r="AQ3" s="753" t="s">
        <v>472</v>
      </c>
      <c r="AS3" s="66"/>
      <c r="AT3" s="66" t="str">
        <f t="shared" si="0"/>
        <v>Территория действия тарифа</v>
      </c>
      <c r="AU3" s="66"/>
      <c r="AV3" s="66"/>
    </row>
    <row r="4" spans="1:48" ht="22.5" hidden="1" customHeight="1">
      <c r="A4" s="756"/>
      <c r="B4" s="756"/>
      <c r="C4" s="756"/>
      <c r="D4" s="756"/>
      <c r="E4" s="1323"/>
      <c r="F4" s="1323"/>
      <c r="G4" s="1322">
        <v>1</v>
      </c>
      <c r="H4" s="756"/>
      <c r="I4" s="756"/>
      <c r="J4" s="756"/>
      <c r="K4" s="756"/>
      <c r="L4" s="756"/>
      <c r="M4" s="779"/>
      <c r="N4" s="351"/>
      <c r="O4" s="351"/>
      <c r="P4" s="351"/>
      <c r="Q4" s="212"/>
      <c r="R4" s="210"/>
      <c r="S4" s="9"/>
      <c r="T4" s="211"/>
      <c r="U4" s="725" t="e">
        <f>INDEX(PT_DIFFERENTIATION_NUM_CS,MATCH(C4,PT_DIFFERENTIATION_CS_ID,0))</f>
        <v>#N/A</v>
      </c>
      <c r="V4" s="179" t="s">
        <v>473</v>
      </c>
      <c r="W4" s="170"/>
      <c r="X4" s="1281"/>
      <c r="Y4" s="1282"/>
      <c r="Z4" s="1282"/>
      <c r="AA4" s="1282"/>
      <c r="AB4" s="1282"/>
      <c r="AC4" s="1282"/>
      <c r="AD4" s="1282"/>
      <c r="AE4" s="1282"/>
      <c r="AF4" s="1283"/>
      <c r="AG4" s="1281" t="e">
        <f>INDEX(PT_DIFFERENTIATION_CS,MATCH(C4,PT_DIFFERENTIATION_CS_ID,0))</f>
        <v>#N/A</v>
      </c>
      <c r="AH4" s="1282"/>
      <c r="AI4" s="1282"/>
      <c r="AJ4" s="1282"/>
      <c r="AK4" s="1282"/>
      <c r="AL4" s="1282"/>
      <c r="AM4" s="1282"/>
      <c r="AN4" s="1282"/>
      <c r="AO4" s="1282"/>
      <c r="AP4" s="1283"/>
      <c r="AQ4" s="753" t="s">
        <v>474</v>
      </c>
      <c r="AS4" s="66"/>
      <c r="AT4" s="66" t="str">
        <f t="shared" si="0"/>
        <v xml:space="preserve">Наименование системы теплоснабжения </v>
      </c>
      <c r="AU4" s="66"/>
      <c r="AV4" s="66"/>
    </row>
    <row r="5" spans="1:48" ht="21" hidden="1" customHeight="1">
      <c r="A5" s="756"/>
      <c r="B5" s="756"/>
      <c r="C5" s="756"/>
      <c r="D5" s="756"/>
      <c r="E5" s="1323"/>
      <c r="F5" s="1323"/>
      <c r="G5" s="1323"/>
      <c r="H5" s="1322">
        <v>1</v>
      </c>
      <c r="I5" s="756"/>
      <c r="J5" s="756"/>
      <c r="K5" s="756"/>
      <c r="L5" s="756"/>
      <c r="M5" s="779"/>
      <c r="N5" s="351"/>
      <c r="O5" s="351"/>
      <c r="P5" s="351"/>
      <c r="Q5" s="212"/>
      <c r="R5" s="210"/>
      <c r="S5" s="9"/>
      <c r="T5" s="211"/>
      <c r="U5" s="725" t="e">
        <f>INDEX(PT_DIFFERENTIATION_NUM_IST_TE,MATCH(D5,PT_DIFFERENTIATION_IST_TE_ID,0))</f>
        <v>#N/A</v>
      </c>
      <c r="V5" s="180" t="s">
        <v>475</v>
      </c>
      <c r="W5" s="170"/>
      <c r="X5" s="1281"/>
      <c r="Y5" s="1282"/>
      <c r="Z5" s="1282"/>
      <c r="AA5" s="1282"/>
      <c r="AB5" s="1282"/>
      <c r="AC5" s="1282"/>
      <c r="AD5" s="1282"/>
      <c r="AE5" s="1282"/>
      <c r="AF5" s="1283"/>
      <c r="AG5" s="1281" t="e">
        <f>INDEX(PT_DIFFERENTIATION_IST_TE,MATCH(D5,PT_DIFFERENTIATION_IST_TE_ID,0))</f>
        <v>#N/A</v>
      </c>
      <c r="AH5" s="1282"/>
      <c r="AI5" s="1282"/>
      <c r="AJ5" s="1282"/>
      <c r="AK5" s="1282"/>
      <c r="AL5" s="1282"/>
      <c r="AM5" s="1282"/>
      <c r="AN5" s="1282"/>
      <c r="AO5" s="1282"/>
      <c r="AP5" s="1283"/>
      <c r="AQ5" s="753" t="s">
        <v>476</v>
      </c>
      <c r="AS5" s="66"/>
      <c r="AT5" s="66" t="str">
        <f t="shared" si="0"/>
        <v xml:space="preserve">Источник тепловой энергии  </v>
      </c>
      <c r="AU5" s="66"/>
      <c r="AV5" s="66"/>
    </row>
    <row r="6" spans="1:48" ht="14.25" hidden="1" customHeight="1">
      <c r="A6" s="756"/>
      <c r="B6" s="756"/>
      <c r="C6" s="756"/>
      <c r="D6" s="756"/>
      <c r="E6" s="1323"/>
      <c r="F6" s="1323"/>
      <c r="G6" s="1323"/>
      <c r="H6" s="1323"/>
      <c r="I6" s="1082" t="e">
        <f>U5&amp;".1"</f>
        <v>#N/A</v>
      </c>
      <c r="J6" s="756"/>
      <c r="K6" s="756"/>
      <c r="L6" s="756"/>
      <c r="M6" s="779" t="s">
        <v>477</v>
      </c>
      <c r="N6" s="9"/>
      <c r="Q6" s="1211">
        <v>1</v>
      </c>
      <c r="R6" s="119"/>
      <c r="S6" s="119"/>
      <c r="T6" s="214"/>
      <c r="U6" s="371"/>
      <c r="V6" s="803"/>
      <c r="W6" s="804"/>
      <c r="X6" s="1316"/>
      <c r="Y6" s="1317"/>
      <c r="Z6" s="1317"/>
      <c r="AA6" s="1317"/>
      <c r="AB6" s="1317"/>
      <c r="AC6" s="1317"/>
      <c r="AD6" s="1317"/>
      <c r="AE6" s="1317"/>
      <c r="AF6" s="1318"/>
      <c r="AG6" s="1316"/>
      <c r="AH6" s="1317"/>
      <c r="AI6" s="1317"/>
      <c r="AJ6" s="1317"/>
      <c r="AK6" s="1317"/>
      <c r="AL6" s="1317"/>
      <c r="AM6" s="1317"/>
      <c r="AN6" s="1317"/>
      <c r="AO6" s="1317"/>
      <c r="AP6" s="1318"/>
      <c r="AQ6" s="805"/>
      <c r="AS6" s="66"/>
      <c r="AT6" s="66" t="str">
        <f t="shared" si="0"/>
        <v/>
      </c>
      <c r="AU6" s="66"/>
      <c r="AV6" s="66"/>
    </row>
    <row r="7" spans="1:48" ht="21" hidden="1" customHeight="1">
      <c r="A7" s="756"/>
      <c r="B7" s="756"/>
      <c r="C7" s="756"/>
      <c r="D7" s="756"/>
      <c r="E7" s="1323"/>
      <c r="F7" s="1323"/>
      <c r="G7" s="1323"/>
      <c r="H7" s="1323"/>
      <c r="I7" s="1063"/>
      <c r="J7" s="1082" t="e">
        <f>I6&amp;".1"</f>
        <v>#N/A</v>
      </c>
      <c r="K7" s="756"/>
      <c r="L7" s="756"/>
      <c r="M7" s="779" t="s">
        <v>480</v>
      </c>
      <c r="N7" s="9"/>
      <c r="O7" s="9"/>
      <c r="Q7" s="1211"/>
      <c r="R7" s="1211">
        <v>1</v>
      </c>
      <c r="S7" s="65"/>
      <c r="T7" s="215"/>
      <c r="U7" s="725" t="e">
        <f>$J7</f>
        <v>#N/A</v>
      </c>
      <c r="V7" s="164" t="s">
        <v>481</v>
      </c>
      <c r="W7" s="170"/>
      <c r="X7" s="1275"/>
      <c r="Y7" s="1276"/>
      <c r="Z7" s="1276"/>
      <c r="AA7" s="1276"/>
      <c r="AB7" s="1276"/>
      <c r="AC7" s="1198"/>
      <c r="AD7" s="1198"/>
      <c r="AE7" s="1198"/>
      <c r="AF7" s="1324"/>
      <c r="AG7" s="1275"/>
      <c r="AH7" s="1276"/>
      <c r="AI7" s="1276"/>
      <c r="AJ7" s="1276"/>
      <c r="AK7" s="1276"/>
      <c r="AL7" s="1276"/>
      <c r="AM7" s="1276"/>
      <c r="AN7" s="1276"/>
      <c r="AO7" s="1276"/>
      <c r="AP7" s="1277"/>
      <c r="AQ7" s="753" t="s">
        <v>482</v>
      </c>
      <c r="AS7" s="66"/>
      <c r="AT7" s="66" t="str">
        <f t="shared" si="0"/>
        <v>Группа потребителей</v>
      </c>
      <c r="AU7" s="66"/>
      <c r="AV7" s="66"/>
    </row>
    <row r="8" spans="1:48" ht="21" hidden="1" customHeight="1">
      <c r="A8" s="756"/>
      <c r="B8" s="756"/>
      <c r="C8" s="756"/>
      <c r="D8" s="756"/>
      <c r="E8" s="1323"/>
      <c r="F8" s="1323"/>
      <c r="G8" s="1323"/>
      <c r="H8" s="1323"/>
      <c r="I8" s="1063"/>
      <c r="J8" s="1063"/>
      <c r="K8" s="1082" t="e">
        <f>J7&amp;".1"</f>
        <v>#N/A</v>
      </c>
      <c r="L8" s="56"/>
      <c r="M8" s="779" t="s">
        <v>483</v>
      </c>
      <c r="N8" s="9"/>
      <c r="O8" s="9"/>
      <c r="P8" s="9"/>
      <c r="Q8" s="1211"/>
      <c r="R8" s="1211"/>
      <c r="S8" s="1211">
        <v>1</v>
      </c>
      <c r="T8" s="215"/>
      <c r="U8" s="725" t="e">
        <f>$K8</f>
        <v>#N/A</v>
      </c>
      <c r="V8" s="789"/>
      <c r="W8" s="170"/>
      <c r="X8" s="317"/>
      <c r="Y8" s="317"/>
      <c r="Z8" s="317"/>
      <c r="AA8" s="317"/>
      <c r="AB8" s="822"/>
      <c r="AC8" s="1291"/>
      <c r="AD8" s="1092" t="s">
        <v>59</v>
      </c>
      <c r="AE8" s="1291"/>
      <c r="AF8" s="1092" t="s">
        <v>59</v>
      </c>
      <c r="AG8" s="824"/>
      <c r="AH8" s="317"/>
      <c r="AI8" s="317"/>
      <c r="AJ8" s="317"/>
      <c r="AK8" s="752"/>
      <c r="AL8" s="1291"/>
      <c r="AM8" s="1092" t="s">
        <v>59</v>
      </c>
      <c r="AN8" s="1291"/>
      <c r="AO8" s="1092" t="s">
        <v>59</v>
      </c>
      <c r="AP8" s="196"/>
      <c r="AQ8" s="778" t="s">
        <v>533</v>
      </c>
      <c r="AR8" s="65" t="e">
        <f ca="1">STRCHECKDATE(X10:AP10)</f>
        <v>#NAME?</v>
      </c>
      <c r="AS8" s="66"/>
      <c r="AT8" s="66" t="str">
        <f t="shared" si="0"/>
        <v/>
      </c>
      <c r="AU8" s="66"/>
      <c r="AV8" s="66"/>
    </row>
    <row r="9" spans="1:48" ht="21" hidden="1" customHeight="1">
      <c r="A9" s="756"/>
      <c r="B9" s="756"/>
      <c r="C9" s="756"/>
      <c r="D9" s="756"/>
      <c r="E9" s="1323"/>
      <c r="F9" s="1323"/>
      <c r="G9" s="1323"/>
      <c r="H9" s="1323"/>
      <c r="I9" s="1063"/>
      <c r="J9" s="1063"/>
      <c r="K9" s="1063"/>
      <c r="L9" s="1082" t="e">
        <f>K8&amp;".1"</f>
        <v>#N/A</v>
      </c>
      <c r="M9" s="779"/>
      <c r="N9" s="9"/>
      <c r="O9" s="9"/>
      <c r="P9" s="9"/>
      <c r="Q9" s="1211"/>
      <c r="R9" s="1211"/>
      <c r="S9" s="1211"/>
      <c r="T9" s="215"/>
      <c r="U9" s="725" t="e">
        <f>$L9</f>
        <v>#N/A</v>
      </c>
      <c r="V9" s="811"/>
      <c r="W9" s="170"/>
      <c r="X9" s="196"/>
      <c r="Y9" s="317"/>
      <c r="Z9" s="317"/>
      <c r="AA9" s="317"/>
      <c r="AB9" s="822"/>
      <c r="AC9" s="1292"/>
      <c r="AD9" s="1092"/>
      <c r="AE9" s="1292"/>
      <c r="AF9" s="1092"/>
      <c r="AG9" s="824"/>
      <c r="AH9" s="317"/>
      <c r="AI9" s="317"/>
      <c r="AJ9" s="317"/>
      <c r="AK9" s="752"/>
      <c r="AL9" s="1292"/>
      <c r="AM9" s="1092"/>
      <c r="AN9" s="1292"/>
      <c r="AO9" s="1092"/>
      <c r="AP9" s="196"/>
      <c r="AQ9" s="1309" t="s">
        <v>534</v>
      </c>
      <c r="AS9" s="66"/>
      <c r="AT9" s="66"/>
      <c r="AU9" s="66"/>
      <c r="AV9" s="66"/>
    </row>
    <row r="10" spans="1:48" ht="14.25" hidden="1" customHeight="1">
      <c r="A10" s="756"/>
      <c r="B10" s="756"/>
      <c r="C10" s="756"/>
      <c r="D10" s="756"/>
      <c r="E10" s="1323"/>
      <c r="F10" s="1323"/>
      <c r="G10" s="1323"/>
      <c r="H10" s="1323"/>
      <c r="I10" s="1063"/>
      <c r="J10" s="1063"/>
      <c r="K10" s="1063"/>
      <c r="L10" s="1082"/>
      <c r="M10" s="779"/>
      <c r="N10" s="9"/>
      <c r="O10" s="9"/>
      <c r="P10" s="9"/>
      <c r="Q10" s="1211"/>
      <c r="R10" s="1211"/>
      <c r="S10" s="1211"/>
      <c r="T10" s="215"/>
      <c r="U10" s="62"/>
      <c r="V10" s="170"/>
      <c r="W10" s="170"/>
      <c r="X10" s="196"/>
      <c r="Y10" s="196"/>
      <c r="Z10" s="196"/>
      <c r="AA10" s="196"/>
      <c r="AB10" s="823" t="str">
        <f>AC8&amp;"-"&amp;AE8</f>
        <v>-</v>
      </c>
      <c r="AC10" s="1292"/>
      <c r="AD10" s="1092"/>
      <c r="AE10" s="1292"/>
      <c r="AF10" s="1092"/>
      <c r="AG10" s="802"/>
      <c r="AH10" s="196"/>
      <c r="AI10" s="196"/>
      <c r="AJ10" s="196"/>
      <c r="AK10" s="198" t="str">
        <f>AL8&amp;"-"&amp;AN8</f>
        <v>-</v>
      </c>
      <c r="AL10" s="1292"/>
      <c r="AM10" s="1092"/>
      <c r="AN10" s="1292"/>
      <c r="AO10" s="1092"/>
      <c r="AP10" s="196"/>
      <c r="AQ10" s="1310"/>
      <c r="AS10" s="66"/>
      <c r="AT10" s="66" t="str">
        <f>IF(V10="","",V10)</f>
        <v/>
      </c>
      <c r="AU10" s="66"/>
      <c r="AV10" s="66"/>
    </row>
    <row r="11" spans="1:48" ht="11.25" hidden="1" customHeight="1">
      <c r="A11" s="756"/>
      <c r="B11" s="756"/>
      <c r="C11" s="756"/>
      <c r="D11" s="756"/>
      <c r="E11" s="1323"/>
      <c r="F11" s="1323"/>
      <c r="G11" s="1323"/>
      <c r="H11" s="1323"/>
      <c r="I11" s="1063"/>
      <c r="J11" s="1063"/>
      <c r="K11" s="1082"/>
      <c r="L11" s="756"/>
      <c r="M11" s="779"/>
      <c r="N11" s="9"/>
      <c r="O11" s="9"/>
      <c r="P11" s="9"/>
      <c r="Q11" s="1211"/>
      <c r="R11" s="1211"/>
      <c r="S11" s="1211"/>
      <c r="T11" s="215"/>
      <c r="U11" s="767"/>
      <c r="V11" s="166" t="s">
        <v>535</v>
      </c>
      <c r="W11" s="812"/>
      <c r="X11" s="813"/>
      <c r="Y11" s="813"/>
      <c r="Z11" s="813"/>
      <c r="AA11" s="813"/>
      <c r="AB11" s="814"/>
      <c r="AC11" s="1292"/>
      <c r="AD11" s="1092"/>
      <c r="AE11" s="1292"/>
      <c r="AF11" s="1092"/>
      <c r="AG11" s="813"/>
      <c r="AH11" s="813"/>
      <c r="AI11" s="813"/>
      <c r="AJ11" s="813"/>
      <c r="AK11" s="814"/>
      <c r="AL11" s="1292"/>
      <c r="AM11" s="1092"/>
      <c r="AN11" s="1292"/>
      <c r="AO11" s="1092"/>
      <c r="AP11" s="815"/>
      <c r="AQ11" s="1310"/>
      <c r="AS11" s="66"/>
      <c r="AT11" s="66"/>
      <c r="AU11" s="66"/>
      <c r="AV11" s="66"/>
    </row>
    <row r="12" spans="1:48" ht="15" hidden="1" customHeight="1">
      <c r="A12" s="756"/>
      <c r="B12" s="756"/>
      <c r="C12" s="756"/>
      <c r="D12" s="756"/>
      <c r="E12" s="1323"/>
      <c r="F12" s="1323"/>
      <c r="G12" s="1323"/>
      <c r="H12" s="1323"/>
      <c r="I12" s="1063"/>
      <c r="J12" s="1082"/>
      <c r="K12" s="756"/>
      <c r="L12" s="756"/>
      <c r="M12" s="779"/>
      <c r="N12" s="9"/>
      <c r="O12" s="9"/>
      <c r="Q12" s="1211"/>
      <c r="R12" s="1211"/>
      <c r="S12" s="119"/>
      <c r="T12" s="214"/>
      <c r="U12" s="767"/>
      <c r="V12" s="165" t="s">
        <v>485</v>
      </c>
      <c r="W12" s="221"/>
      <c r="X12" s="221"/>
      <c r="Y12" s="221"/>
      <c r="Z12" s="221"/>
      <c r="AA12" s="221"/>
      <c r="AB12" s="221"/>
      <c r="AC12" s="825"/>
      <c r="AD12" s="825"/>
      <c r="AE12" s="825"/>
      <c r="AF12" s="825"/>
      <c r="AG12" s="221"/>
      <c r="AH12" s="221"/>
      <c r="AI12" s="221"/>
      <c r="AJ12" s="221"/>
      <c r="AK12" s="221"/>
      <c r="AL12" s="221"/>
      <c r="AM12" s="221"/>
      <c r="AN12" s="221"/>
      <c r="AO12" s="221"/>
      <c r="AP12" s="195"/>
      <c r="AQ12" s="1311"/>
      <c r="AS12" s="66"/>
      <c r="AT12" s="66" t="str">
        <f t="shared" ref="AT12:AT17" si="1">IF(V12="","",V12)</f>
        <v>Добавить вид теплоносителя (параметры теплоносителя)</v>
      </c>
      <c r="AU12" s="66"/>
      <c r="AV12" s="66"/>
    </row>
    <row r="13" spans="1:48" ht="11.25" hidden="1" customHeight="1">
      <c r="A13" s="756"/>
      <c r="B13" s="756"/>
      <c r="C13" s="756"/>
      <c r="D13" s="756"/>
      <c r="E13" s="1323"/>
      <c r="F13" s="1323"/>
      <c r="G13" s="1323"/>
      <c r="H13" s="1323"/>
      <c r="I13" s="1082"/>
      <c r="J13" s="756"/>
      <c r="K13" s="756"/>
      <c r="L13" s="756"/>
      <c r="M13" s="779"/>
      <c r="N13" s="9"/>
      <c r="Q13" s="1211"/>
      <c r="R13" s="119"/>
      <c r="S13" s="119"/>
      <c r="T13" s="214"/>
      <c r="U13" s="767"/>
      <c r="V13" s="219" t="s">
        <v>486</v>
      </c>
      <c r="W13" s="221"/>
      <c r="X13" s="221"/>
      <c r="Y13" s="221"/>
      <c r="Z13" s="221"/>
      <c r="AA13" s="221"/>
      <c r="AB13" s="221"/>
      <c r="AC13" s="221"/>
      <c r="AD13" s="221"/>
      <c r="AE13" s="221"/>
      <c r="AF13" s="197"/>
      <c r="AG13" s="221"/>
      <c r="AH13" s="221"/>
      <c r="AI13" s="221"/>
      <c r="AJ13" s="221"/>
      <c r="AK13" s="221"/>
      <c r="AL13" s="221"/>
      <c r="AM13" s="221"/>
      <c r="AN13" s="221"/>
      <c r="AO13" s="197"/>
      <c r="AP13" s="221"/>
      <c r="AQ13" s="173"/>
      <c r="AS13" s="66"/>
      <c r="AT13" s="66" t="str">
        <f t="shared" si="1"/>
        <v>Добавить группу потребителей</v>
      </c>
      <c r="AU13" s="66"/>
      <c r="AV13" s="66"/>
    </row>
    <row r="14" spans="1:48" ht="14.25" hidden="1" customHeight="1">
      <c r="A14" s="756"/>
      <c r="B14" s="756"/>
      <c r="C14" s="756"/>
      <c r="D14" s="756"/>
      <c r="E14" s="1323"/>
      <c r="F14" s="1323"/>
      <c r="G14" s="1323"/>
      <c r="H14" s="1322"/>
      <c r="I14" s="756"/>
      <c r="J14" s="756"/>
      <c r="K14" s="756"/>
      <c r="L14" s="756"/>
      <c r="M14" s="779"/>
      <c r="N14" s="351"/>
      <c r="O14" s="351"/>
      <c r="P14" s="9"/>
      <c r="Q14" s="2"/>
      <c r="R14" s="224"/>
      <c r="S14" s="213"/>
      <c r="T14" s="2"/>
      <c r="U14" s="806"/>
      <c r="V14" s="807"/>
      <c r="W14" s="808"/>
      <c r="X14" s="808"/>
      <c r="Y14" s="808"/>
      <c r="Z14" s="808"/>
      <c r="AA14" s="808"/>
      <c r="AB14" s="808"/>
      <c r="AC14" s="808"/>
      <c r="AD14" s="808"/>
      <c r="AE14" s="808"/>
      <c r="AF14" s="808"/>
      <c r="AG14" s="808"/>
      <c r="AH14" s="808"/>
      <c r="AI14" s="808"/>
      <c r="AJ14" s="808"/>
      <c r="AK14" s="808"/>
      <c r="AL14" s="808"/>
      <c r="AM14" s="808"/>
      <c r="AN14" s="808"/>
      <c r="AO14" s="808"/>
      <c r="AP14" s="808"/>
      <c r="AQ14" s="809"/>
      <c r="AS14" s="66"/>
      <c r="AT14" s="66" t="str">
        <f t="shared" si="1"/>
        <v/>
      </c>
      <c r="AU14" s="66"/>
      <c r="AV14" s="66"/>
    </row>
    <row r="15" spans="1:48" s="65" customFormat="1" ht="14.25" hidden="1" customHeight="1">
      <c r="A15" s="798"/>
      <c r="B15" s="798"/>
      <c r="C15" s="798"/>
      <c r="D15" s="798"/>
      <c r="E15" s="1323"/>
      <c r="F15" s="1323"/>
      <c r="G15" s="1322"/>
      <c r="H15" s="798"/>
      <c r="I15" s="798"/>
      <c r="J15" s="798"/>
      <c r="K15" s="798"/>
      <c r="L15" s="798"/>
      <c r="M15" s="799"/>
      <c r="N15" s="800"/>
      <c r="O15" s="800"/>
      <c r="P15" s="209"/>
      <c r="Q15" s="101"/>
      <c r="R15" s="780"/>
      <c r="S15" s="101"/>
      <c r="T15" s="101"/>
      <c r="U15" s="781"/>
      <c r="V15" s="782" t="s">
        <v>444</v>
      </c>
      <c r="W15" s="783"/>
      <c r="X15" s="783"/>
      <c r="Y15" s="783"/>
      <c r="Z15" s="783"/>
      <c r="AA15" s="783"/>
      <c r="AB15" s="783"/>
      <c r="AC15" s="783"/>
      <c r="AD15" s="783"/>
      <c r="AE15" s="783"/>
      <c r="AF15" s="783"/>
      <c r="AG15" s="783"/>
      <c r="AH15" s="783"/>
      <c r="AI15" s="783"/>
      <c r="AJ15" s="783"/>
      <c r="AK15" s="783"/>
      <c r="AL15" s="783"/>
      <c r="AM15" s="783"/>
      <c r="AN15" s="783"/>
      <c r="AO15" s="783"/>
      <c r="AP15" s="783"/>
      <c r="AQ15" s="783"/>
      <c r="AS15" s="66"/>
      <c r="AT15" s="66" t="str">
        <f t="shared" si="1"/>
        <v>Добавить источник для дифференциации</v>
      </c>
      <c r="AU15" s="66"/>
      <c r="AV15" s="66"/>
    </row>
    <row r="16" spans="1:48" s="65" customFormat="1" ht="14.25" hidden="1" customHeight="1">
      <c r="A16" s="798"/>
      <c r="B16" s="798"/>
      <c r="C16" s="798"/>
      <c r="D16" s="798"/>
      <c r="E16" s="1323"/>
      <c r="F16" s="1322"/>
      <c r="G16" s="798"/>
      <c r="H16" s="798"/>
      <c r="I16" s="798"/>
      <c r="J16" s="798"/>
      <c r="K16" s="798"/>
      <c r="L16" s="798"/>
      <c r="M16" s="799"/>
      <c r="N16" s="801"/>
      <c r="O16" s="801"/>
      <c r="P16" s="209"/>
      <c r="Q16" s="101"/>
      <c r="R16" s="780"/>
      <c r="S16" s="101"/>
      <c r="T16" s="101"/>
      <c r="U16" s="785"/>
      <c r="V16" s="786" t="s">
        <v>445</v>
      </c>
      <c r="W16" s="323"/>
      <c r="X16" s="323"/>
      <c r="Y16" s="323"/>
      <c r="Z16" s="323"/>
      <c r="AA16" s="323"/>
      <c r="AB16" s="323"/>
      <c r="AC16" s="323"/>
      <c r="AD16" s="323"/>
      <c r="AE16" s="323"/>
      <c r="AF16" s="323"/>
      <c r="AG16" s="323"/>
      <c r="AH16" s="323"/>
      <c r="AI16" s="323"/>
      <c r="AJ16" s="323"/>
      <c r="AK16" s="323"/>
      <c r="AL16" s="323"/>
      <c r="AM16" s="323"/>
      <c r="AN16" s="323"/>
      <c r="AO16" s="323"/>
      <c r="AP16" s="323"/>
      <c r="AQ16" s="323"/>
      <c r="AS16" s="66"/>
      <c r="AT16" s="66" t="str">
        <f t="shared" si="1"/>
        <v>Добавить централизованную систему для дифференциации</v>
      </c>
      <c r="AU16" s="66"/>
      <c r="AV16" s="66"/>
    </row>
    <row r="17" spans="1:48" s="65" customFormat="1" ht="14.25" hidden="1" customHeight="1">
      <c r="A17" s="798"/>
      <c r="B17" s="798"/>
      <c r="C17" s="798"/>
      <c r="D17" s="798"/>
      <c r="E17" s="1322"/>
      <c r="F17" s="798"/>
      <c r="G17" s="798"/>
      <c r="H17" s="798"/>
      <c r="I17" s="798"/>
      <c r="J17" s="798"/>
      <c r="K17" s="798"/>
      <c r="L17" s="798"/>
      <c r="M17" s="799"/>
      <c r="N17" s="801"/>
      <c r="O17" s="801"/>
      <c r="P17" s="209"/>
      <c r="Q17" s="101"/>
      <c r="R17" s="780"/>
      <c r="S17" s="101"/>
      <c r="T17" s="101"/>
      <c r="U17" s="785"/>
      <c r="V17" s="787" t="s">
        <v>446</v>
      </c>
      <c r="W17" s="323"/>
      <c r="X17" s="323"/>
      <c r="Y17" s="323"/>
      <c r="Z17" s="323"/>
      <c r="AA17" s="323"/>
      <c r="AB17" s="323"/>
      <c r="AC17" s="323"/>
      <c r="AD17" s="323"/>
      <c r="AE17" s="323"/>
      <c r="AF17" s="323"/>
      <c r="AG17" s="323"/>
      <c r="AH17" s="323"/>
      <c r="AI17" s="323"/>
      <c r="AJ17" s="323"/>
      <c r="AK17" s="323"/>
      <c r="AL17" s="323"/>
      <c r="AM17" s="323"/>
      <c r="AN17" s="323"/>
      <c r="AO17" s="323"/>
      <c r="AP17" s="323"/>
      <c r="AQ17" s="323"/>
      <c r="AS17" s="66"/>
      <c r="AT17" s="66" t="str">
        <f t="shared" si="1"/>
        <v>Добавить территорию для дифференциации</v>
      </c>
      <c r="AU17" s="66"/>
      <c r="AV17" s="66"/>
    </row>
    <row r="18" spans="1:48" ht="14.25" hidden="1" customHeight="1"/>
    <row r="19" spans="1:48" ht="14.25" hidden="1" customHeight="1">
      <c r="AG19" s="376"/>
      <c r="AH19" s="376"/>
      <c r="AI19" s="376"/>
      <c r="AJ19" s="376"/>
      <c r="AK19" s="792"/>
      <c r="AL19" s="1285"/>
      <c r="AM19" s="1284" t="s">
        <v>59</v>
      </c>
      <c r="AN19" s="1285"/>
      <c r="AO19" s="1284" t="s">
        <v>59</v>
      </c>
    </row>
    <row r="20" spans="1:48" ht="14.25" hidden="1" customHeight="1">
      <c r="AG20" s="376"/>
      <c r="AH20" s="376"/>
      <c r="AI20" s="376"/>
      <c r="AJ20" s="376"/>
      <c r="AK20" s="792"/>
      <c r="AL20" s="1285"/>
      <c r="AM20" s="1284"/>
      <c r="AN20" s="1285"/>
      <c r="AO20" s="1284"/>
    </row>
    <row r="21" spans="1:48" ht="14.25" hidden="1" customHeight="1">
      <c r="AG21" s="376"/>
      <c r="AH21" s="376"/>
      <c r="AI21" s="376"/>
      <c r="AJ21" s="376"/>
      <c r="AK21" s="792"/>
      <c r="AL21" s="1285"/>
      <c r="AM21" s="1284"/>
      <c r="AN21" s="1285"/>
      <c r="AO21" s="1284"/>
    </row>
    <row r="22" spans="1:48" ht="14.25" hidden="1" customHeight="1">
      <c r="AG22" s="376"/>
      <c r="AH22" s="376"/>
      <c r="AI22" s="376"/>
      <c r="AJ22" s="376"/>
      <c r="AK22" s="198" t="str">
        <f>AL19&amp;"-"&amp;AN19</f>
        <v>-</v>
      </c>
      <c r="AL22" s="1284"/>
      <c r="AM22" s="1284"/>
      <c r="AN22" s="1284"/>
      <c r="AO22" s="1284"/>
    </row>
    <row r="23" spans="1:48" ht="14.25" hidden="1" customHeight="1"/>
    <row r="24" spans="1:48" s="60" customFormat="1" ht="22.5" hidden="1" customHeight="1">
      <c r="A24" s="9"/>
      <c r="B24" s="9"/>
      <c r="C24" s="9"/>
      <c r="D24" s="9"/>
      <c r="E24" s="9"/>
      <c r="F24" s="9"/>
      <c r="G24" s="9"/>
      <c r="H24" s="9"/>
      <c r="I24" s="9"/>
      <c r="J24" s="9"/>
      <c r="K24" s="9"/>
      <c r="L24" s="9"/>
      <c r="M24" s="56"/>
      <c r="N24" s="32"/>
      <c r="O24" s="32"/>
      <c r="P24" s="185" t="s">
        <v>488</v>
      </c>
      <c r="Q24" s="519"/>
      <c r="R24" s="796"/>
      <c r="S24" s="796"/>
      <c r="T24" s="796"/>
      <c r="U24" s="433"/>
      <c r="AC24" s="795"/>
      <c r="AE24" s="795"/>
      <c r="AL24" s="795"/>
      <c r="AN24" s="795"/>
      <c r="AR24" s="65"/>
      <c r="AS24" s="65"/>
      <c r="AT24" s="65"/>
      <c r="AU24" s="65"/>
      <c r="AV24" s="65"/>
    </row>
    <row r="25" spans="1:48" s="60" customFormat="1" ht="14.25" hidden="1" customHeight="1">
      <c r="A25" s="9"/>
      <c r="B25" s="9"/>
      <c r="C25" s="9"/>
      <c r="D25" s="9"/>
      <c r="E25" s="9"/>
      <c r="F25" s="9"/>
      <c r="G25" s="9"/>
      <c r="H25" s="9"/>
      <c r="I25" s="9"/>
      <c r="J25" s="9"/>
      <c r="K25" s="9"/>
      <c r="L25" s="9"/>
      <c r="M25" s="56"/>
      <c r="N25" s="32"/>
      <c r="O25" s="32"/>
      <c r="P25" s="32"/>
      <c r="Q25" s="519"/>
      <c r="R25" s="796"/>
      <c r="S25" s="796"/>
      <c r="T25" s="796"/>
      <c r="U25" s="433"/>
      <c r="AR25" s="65"/>
      <c r="AS25" s="65"/>
      <c r="AT25" s="65"/>
      <c r="AU25" s="65"/>
      <c r="AV25" s="65"/>
    </row>
    <row r="26" spans="1:48" s="60" customFormat="1" ht="14.25" hidden="1" customHeight="1">
      <c r="A26" s="9"/>
      <c r="B26" s="9"/>
      <c r="C26" s="9"/>
      <c r="D26" s="9"/>
      <c r="E26" s="9"/>
      <c r="F26" s="9"/>
      <c r="G26" s="9"/>
      <c r="H26" s="9"/>
      <c r="I26" s="9"/>
      <c r="J26" s="9"/>
      <c r="K26" s="9"/>
      <c r="L26" s="9"/>
      <c r="M26" s="56"/>
      <c r="N26" s="32"/>
      <c r="O26" s="32"/>
      <c r="P26" s="779" t="s">
        <v>489</v>
      </c>
      <c r="Q26" s="519"/>
      <c r="R26" s="796"/>
      <c r="S26" s="796"/>
      <c r="T26" s="796"/>
      <c r="U26" s="433"/>
      <c r="V26" s="60" t="s">
        <v>490</v>
      </c>
      <c r="AD26" s="79" t="s">
        <v>491</v>
      </c>
      <c r="AF26" s="79" t="s">
        <v>492</v>
      </c>
      <c r="AG26" s="60" t="s">
        <v>490</v>
      </c>
      <c r="AM26" s="79" t="s">
        <v>493</v>
      </c>
      <c r="AO26" s="79" t="s">
        <v>492</v>
      </c>
      <c r="AR26" s="65"/>
      <c r="AS26" s="65"/>
      <c r="AT26" s="65"/>
      <c r="AU26" s="65"/>
      <c r="AV26" s="65"/>
    </row>
    <row r="27" spans="1:48" ht="14.25" hidden="1" customHeight="1">
      <c r="P27" s="779"/>
    </row>
    <row r="28" spans="1:48" ht="14.25" hidden="1" customHeight="1">
      <c r="P28" s="779"/>
    </row>
    <row r="29" spans="1:48" ht="14.25" customHeight="1">
      <c r="R29" s="27"/>
      <c r="S29" s="27"/>
      <c r="T29" s="27"/>
      <c r="U29" s="764"/>
      <c r="V29" s="8"/>
      <c r="W29" s="8"/>
    </row>
    <row r="30" spans="1:48" ht="64.5" customHeight="1">
      <c r="R30" s="27"/>
      <c r="S30" s="27"/>
      <c r="T30" s="27"/>
      <c r="U30" s="1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312"/>
      <c r="W30" s="1312"/>
      <c r="X30" s="1312"/>
      <c r="Y30" s="1312"/>
      <c r="Z30" s="1312"/>
      <c r="AA30" s="1312"/>
      <c r="AB30" s="1312"/>
      <c r="AC30" s="1312"/>
      <c r="AD30" s="1312"/>
      <c r="AE30" s="1312"/>
      <c r="AF30" s="1312"/>
      <c r="AG30" s="1312"/>
      <c r="AH30" s="1312"/>
      <c r="AI30" s="1312"/>
      <c r="AJ30" s="1312"/>
      <c r="AK30" s="1312"/>
      <c r="AL30" s="1312"/>
      <c r="AM30" s="1312"/>
      <c r="AN30" s="1312"/>
      <c r="AO30" s="57"/>
    </row>
    <row r="31" spans="1:48" ht="14.25" customHeight="1">
      <c r="R31" s="27"/>
      <c r="S31" s="27"/>
      <c r="T31" s="27"/>
      <c r="U31" s="1178" t="str">
        <f>IF(org=0,"Не определено",org)</f>
        <v>ООО "Концессионная Коммунальная Компания"</v>
      </c>
      <c r="V31" s="1178"/>
      <c r="W31" s="1178"/>
      <c r="X31" s="1178"/>
      <c r="Y31" s="1178"/>
      <c r="Z31" s="1178"/>
      <c r="AA31" s="1178"/>
      <c r="AB31" s="1178"/>
      <c r="AC31" s="1178"/>
      <c r="AD31" s="1178"/>
      <c r="AE31" s="1178"/>
      <c r="AF31" s="1178"/>
      <c r="AG31" s="1178"/>
      <c r="AH31" s="1178"/>
      <c r="AI31" s="1178"/>
      <c r="AJ31" s="1178"/>
      <c r="AK31" s="1178"/>
      <c r="AL31" s="1178"/>
      <c r="AM31" s="1178"/>
      <c r="AN31" s="1178"/>
      <c r="AO31" s="57"/>
    </row>
    <row r="32" spans="1:48" ht="14.25" hidden="1" customHeight="1">
      <c r="R32" s="27"/>
      <c r="S32" s="27"/>
      <c r="T32" s="27"/>
      <c r="U32" s="764"/>
      <c r="V32" s="8"/>
      <c r="W32" s="8"/>
      <c r="X32" s="193"/>
      <c r="Y32" s="193"/>
      <c r="Z32" s="193"/>
      <c r="AA32" s="193"/>
      <c r="AB32" s="193"/>
      <c r="AC32" s="193"/>
      <c r="AD32" s="193"/>
      <c r="AE32" s="193"/>
      <c r="AF32" s="193"/>
      <c r="AG32" s="193"/>
      <c r="AH32" s="193"/>
      <c r="AI32" s="193"/>
      <c r="AJ32" s="193"/>
      <c r="AK32" s="193"/>
      <c r="AL32" s="193"/>
      <c r="AM32" s="193"/>
      <c r="AN32" s="193"/>
      <c r="AO32" s="193"/>
    </row>
    <row r="33" spans="1:48" s="33" customFormat="1" ht="25.5" hidden="1" customHeight="1">
      <c r="A33" s="15"/>
      <c r="B33" s="15"/>
      <c r="C33" s="15"/>
      <c r="D33" s="15"/>
      <c r="E33" s="15"/>
      <c r="F33" s="15"/>
      <c r="G33" s="15"/>
      <c r="H33" s="15"/>
      <c r="I33" s="15"/>
      <c r="J33" s="15"/>
      <c r="K33" s="15"/>
      <c r="L33" s="15"/>
      <c r="M33" s="779"/>
      <c r="N33" s="15"/>
      <c r="O33" s="15"/>
      <c r="P33" s="15"/>
      <c r="U33" s="1278" t="s">
        <v>40</v>
      </c>
      <c r="V33" s="1278"/>
      <c r="W33" s="797"/>
      <c r="X33" s="1280" t="str">
        <f>IF(TITLE_NAME_OR_PR_CHANGE="",IF(TITLE_NAME_OR_PR="","",TITLE_NAME_OR_PR),TITLE_NAME_OR_PR_CHANGE)</f>
        <v/>
      </c>
      <c r="Y33" s="1280"/>
      <c r="Z33" s="1280"/>
      <c r="AA33" s="1280"/>
      <c r="AB33" s="1280"/>
      <c r="AC33" s="1280"/>
      <c r="AD33" s="1280"/>
      <c r="AE33" s="1280"/>
      <c r="AF33" s="9"/>
      <c r="AG33" s="1280" t="str">
        <f>IF(TITLE_NAME_OR_PR_CHANGE="",IF(TITLE_NAME_OR_PR="","",TITLE_NAME_OR_PR),TITLE_NAME_OR_PR_CHANGE)</f>
        <v/>
      </c>
      <c r="AH33" s="1280"/>
      <c r="AI33" s="1280"/>
      <c r="AJ33" s="1280"/>
      <c r="AK33" s="1280"/>
      <c r="AL33" s="1280"/>
      <c r="AM33" s="1280"/>
      <c r="AN33" s="1280"/>
      <c r="AO33" s="9"/>
      <c r="AP33" s="9"/>
      <c r="AQ33" s="162"/>
      <c r="AR33" s="66"/>
      <c r="AS33" s="66"/>
      <c r="AT33" s="66"/>
      <c r="AU33" s="66"/>
      <c r="AV33" s="66"/>
    </row>
    <row r="34" spans="1:48" s="33" customFormat="1" ht="18.75" hidden="1" customHeight="1">
      <c r="A34" s="15"/>
      <c r="B34" s="15"/>
      <c r="C34" s="15"/>
      <c r="D34" s="15"/>
      <c r="E34" s="15"/>
      <c r="F34" s="15"/>
      <c r="G34" s="15"/>
      <c r="H34" s="15"/>
      <c r="I34" s="15"/>
      <c r="J34" s="15"/>
      <c r="K34" s="15"/>
      <c r="L34" s="15"/>
      <c r="M34" s="779"/>
      <c r="N34" s="15"/>
      <c r="O34" s="15"/>
      <c r="P34" s="15"/>
      <c r="U34" s="1278" t="s">
        <v>494</v>
      </c>
      <c r="V34" s="1278"/>
      <c r="W34" s="797"/>
      <c r="X34" s="1279" t="str">
        <f>IF(TITLE_DATE_CHANGE_PERIOD="",IF(TITLE_DATE_PR="","",TITLE_DATE_PR),TITLE_DATE_CHANGE_PERIOD)</f>
        <v/>
      </c>
      <c r="Y34" s="1279"/>
      <c r="Z34" s="1279"/>
      <c r="AA34" s="1279"/>
      <c r="AB34" s="1279"/>
      <c r="AC34" s="1279"/>
      <c r="AD34" s="1279"/>
      <c r="AE34" s="1279"/>
      <c r="AF34" s="9"/>
      <c r="AG34" s="1279" t="str">
        <f>IF(TITLE_DATE_CHANGE_PERIOD="",IF(TITLE_DATE_PR="","",TITLE_DATE_PR),TITLE_DATE_CHANGE_PERIOD)</f>
        <v/>
      </c>
      <c r="AH34" s="1279"/>
      <c r="AI34" s="1279"/>
      <c r="AJ34" s="1279"/>
      <c r="AK34" s="1279"/>
      <c r="AL34" s="1279"/>
      <c r="AM34" s="1279"/>
      <c r="AN34" s="1279"/>
      <c r="AO34" s="9"/>
      <c r="AP34" s="9"/>
      <c r="AQ34" s="162"/>
      <c r="AR34" s="66"/>
      <c r="AS34" s="66"/>
      <c r="AT34" s="66"/>
      <c r="AU34" s="66"/>
      <c r="AV34" s="66"/>
    </row>
    <row r="35" spans="1:48" s="33" customFormat="1" ht="18.75" hidden="1" customHeight="1">
      <c r="A35" s="15"/>
      <c r="B35" s="15"/>
      <c r="C35" s="15"/>
      <c r="D35" s="15"/>
      <c r="E35" s="15"/>
      <c r="F35" s="15"/>
      <c r="G35" s="15"/>
      <c r="H35" s="15"/>
      <c r="I35" s="15"/>
      <c r="J35" s="15"/>
      <c r="K35" s="15"/>
      <c r="L35" s="15"/>
      <c r="M35" s="779"/>
      <c r="N35" s="15"/>
      <c r="O35" s="15"/>
      <c r="P35" s="15"/>
      <c r="U35" s="1278" t="s">
        <v>495</v>
      </c>
      <c r="V35" s="1278"/>
      <c r="W35" s="797"/>
      <c r="X35" s="1280" t="str">
        <f>IF(TITLE_NUMBER_PR_CHANGE="",IF(TITLE_NUMBER_PR="","",TITLE_NUMBER_PR),TITLE_NUMBER_PR_CHANGE)</f>
        <v/>
      </c>
      <c r="Y35" s="1280"/>
      <c r="Z35" s="1280"/>
      <c r="AA35" s="1280"/>
      <c r="AB35" s="1280"/>
      <c r="AC35" s="1280"/>
      <c r="AD35" s="1280"/>
      <c r="AE35" s="1280"/>
      <c r="AF35" s="9"/>
      <c r="AG35" s="1280" t="str">
        <f>IF(TITLE_NUMBER_PR_CHANGE="",IF(TITLE_NUMBER_PR="","",TITLE_NUMBER_PR),TITLE_NUMBER_PR_CHANGE)</f>
        <v/>
      </c>
      <c r="AH35" s="1280"/>
      <c r="AI35" s="1280"/>
      <c r="AJ35" s="1280"/>
      <c r="AK35" s="1280"/>
      <c r="AL35" s="1280"/>
      <c r="AM35" s="1280"/>
      <c r="AN35" s="1280"/>
      <c r="AO35" s="9"/>
      <c r="AP35" s="9"/>
      <c r="AQ35" s="162"/>
      <c r="AR35" s="66"/>
      <c r="AS35" s="66"/>
      <c r="AT35" s="66"/>
      <c r="AU35" s="66"/>
      <c r="AV35" s="66"/>
    </row>
    <row r="36" spans="1:48" s="33" customFormat="1" ht="18.75" hidden="1" customHeight="1">
      <c r="A36" s="15"/>
      <c r="B36" s="15"/>
      <c r="C36" s="15"/>
      <c r="D36" s="15"/>
      <c r="E36" s="15"/>
      <c r="F36" s="15"/>
      <c r="G36" s="15"/>
      <c r="H36" s="15"/>
      <c r="I36" s="15"/>
      <c r="J36" s="15"/>
      <c r="K36" s="15"/>
      <c r="L36" s="15"/>
      <c r="M36" s="779"/>
      <c r="N36" s="15"/>
      <c r="O36" s="15"/>
      <c r="P36" s="15"/>
      <c r="U36" s="1278" t="s">
        <v>41</v>
      </c>
      <c r="V36" s="1278"/>
      <c r="W36" s="797"/>
      <c r="X36" s="1280" t="str">
        <f>IF(TITLE_IST_PUB_CHANGE="",IF(TITLE_IST_PUB="","",TITLE_IST_PUB),TITLE_IST_PUB_CHANGE)</f>
        <v/>
      </c>
      <c r="Y36" s="1280"/>
      <c r="Z36" s="1280"/>
      <c r="AA36" s="1280"/>
      <c r="AB36" s="1280"/>
      <c r="AC36" s="1280"/>
      <c r="AD36" s="1280"/>
      <c r="AE36" s="1280"/>
      <c r="AF36" s="9"/>
      <c r="AG36" s="1280" t="str">
        <f>IF(TITLE_IST_PUB_CHANGE="",IF(TITLE_IST_PUB="","",TITLE_IST_PUB),TITLE_IST_PUB_CHANGE)</f>
        <v/>
      </c>
      <c r="AH36" s="1280"/>
      <c r="AI36" s="1280"/>
      <c r="AJ36" s="1280"/>
      <c r="AK36" s="1280"/>
      <c r="AL36" s="1280"/>
      <c r="AM36" s="1280"/>
      <c r="AN36" s="1280"/>
      <c r="AO36" s="9"/>
      <c r="AP36" s="9"/>
      <c r="AQ36" s="162"/>
      <c r="AR36" s="66"/>
      <c r="AS36" s="66"/>
      <c r="AT36" s="66"/>
      <c r="AU36" s="66"/>
      <c r="AV36" s="66"/>
    </row>
    <row r="37" spans="1:48" ht="14.25" hidden="1" customHeight="1">
      <c r="R37" s="27"/>
      <c r="S37" s="27"/>
      <c r="T37" s="27"/>
      <c r="U37" s="764"/>
      <c r="V37" s="8"/>
      <c r="W37" s="8"/>
      <c r="X37" s="193"/>
      <c r="Y37" s="193"/>
      <c r="Z37" s="193"/>
      <c r="AA37" s="193"/>
      <c r="AB37" s="193"/>
      <c r="AC37" s="193"/>
      <c r="AD37" s="193"/>
      <c r="AE37" s="193"/>
      <c r="AF37" s="193"/>
      <c r="AG37" s="193"/>
      <c r="AH37" s="193"/>
      <c r="AI37" s="193"/>
      <c r="AJ37" s="193"/>
      <c r="AK37" s="193"/>
      <c r="AL37" s="193"/>
      <c r="AM37" s="193"/>
      <c r="AN37" s="193"/>
      <c r="AO37" s="193"/>
    </row>
    <row r="38" spans="1:48" s="33" customFormat="1" ht="18.75" hidden="1" customHeight="1">
      <c r="A38" s="15"/>
      <c r="B38" s="15"/>
      <c r="C38" s="15"/>
      <c r="D38" s="15"/>
      <c r="E38" s="15"/>
      <c r="F38" s="15"/>
      <c r="G38" s="15"/>
      <c r="H38" s="15"/>
      <c r="I38" s="15"/>
      <c r="J38" s="15"/>
      <c r="K38" s="15"/>
      <c r="L38" s="15"/>
      <c r="M38" s="779"/>
      <c r="N38" s="15"/>
      <c r="O38" s="15"/>
      <c r="P38" s="15"/>
      <c r="U38" s="1278" t="s">
        <v>496</v>
      </c>
      <c r="V38" s="1278"/>
      <c r="W38" s="797"/>
      <c r="X38" s="1279" t="str">
        <f>IF(TITLE_DATE_CHANGE_PERIOD="",IF(TITLE_DATE_PR="","",TITLE_DATE_PR),TITLE_DATE_CHANGE_PERIOD)</f>
        <v/>
      </c>
      <c r="Y38" s="1279"/>
      <c r="Z38" s="1279"/>
      <c r="AA38" s="1279"/>
      <c r="AB38" s="1279"/>
      <c r="AC38" s="1279"/>
      <c r="AD38" s="1279"/>
      <c r="AE38" s="1279"/>
      <c r="AF38" s="9"/>
      <c r="AG38" s="1279" t="str">
        <f>IF(TITLE_DATE_CHANGE_PERIOD="",IF(TITLE_DATE_PR="","",TITLE_DATE_PR),TITLE_DATE_CHANGE_PERIOD)</f>
        <v/>
      </c>
      <c r="AH38" s="1279"/>
      <c r="AI38" s="1279"/>
      <c r="AJ38" s="1279"/>
      <c r="AK38" s="1279"/>
      <c r="AL38" s="1279"/>
      <c r="AM38" s="1279"/>
      <c r="AN38" s="1279"/>
      <c r="AO38" s="9"/>
      <c r="AP38" s="9"/>
      <c r="AQ38" s="162"/>
      <c r="AR38" s="66"/>
      <c r="AS38" s="66"/>
      <c r="AT38" s="66"/>
      <c r="AU38" s="66"/>
      <c r="AV38" s="66"/>
    </row>
    <row r="39" spans="1:48" s="33" customFormat="1" ht="18.75" hidden="1" customHeight="1">
      <c r="A39" s="15"/>
      <c r="B39" s="15"/>
      <c r="C39" s="15"/>
      <c r="D39" s="15"/>
      <c r="E39" s="15"/>
      <c r="F39" s="15"/>
      <c r="G39" s="15"/>
      <c r="H39" s="15"/>
      <c r="I39" s="15"/>
      <c r="J39" s="15"/>
      <c r="K39" s="15"/>
      <c r="L39" s="15"/>
      <c r="M39" s="779"/>
      <c r="N39" s="15"/>
      <c r="O39" s="15"/>
      <c r="P39" s="15"/>
      <c r="U39" s="1278" t="s">
        <v>497</v>
      </c>
      <c r="V39" s="1278"/>
      <c r="W39" s="797"/>
      <c r="X39" s="1280" t="str">
        <f>IF(TITLE_NUMBER_PR_CHANGE="",IF(TITLE_NUMBER_PR="","",TITLE_NUMBER_PR),TITLE_NUMBER_PR_CHANGE)</f>
        <v/>
      </c>
      <c r="Y39" s="1280"/>
      <c r="Z39" s="1280"/>
      <c r="AA39" s="1280"/>
      <c r="AB39" s="1280"/>
      <c r="AC39" s="1280"/>
      <c r="AD39" s="1280"/>
      <c r="AE39" s="1280"/>
      <c r="AF39" s="9"/>
      <c r="AG39" s="1280" t="str">
        <f>IF(TITLE_NUMBER_PR_CHANGE="",IF(TITLE_NUMBER_PR="","",TITLE_NUMBER_PR),TITLE_NUMBER_PR_CHANGE)</f>
        <v/>
      </c>
      <c r="AH39" s="1280"/>
      <c r="AI39" s="1280"/>
      <c r="AJ39" s="1280"/>
      <c r="AK39" s="1280"/>
      <c r="AL39" s="1280"/>
      <c r="AM39" s="1280"/>
      <c r="AN39" s="1280"/>
      <c r="AO39" s="9"/>
      <c r="AP39" s="9"/>
      <c r="AQ39" s="162"/>
      <c r="AR39" s="66"/>
      <c r="AS39" s="66"/>
      <c r="AT39" s="66"/>
      <c r="AU39" s="66"/>
      <c r="AV39" s="66"/>
    </row>
    <row r="40" spans="1:48" s="33" customFormat="1" ht="0" hidden="1" customHeight="1">
      <c r="A40" s="15"/>
      <c r="B40" s="15"/>
      <c r="C40" s="15"/>
      <c r="D40" s="15"/>
      <c r="E40" s="15"/>
      <c r="F40" s="15"/>
      <c r="G40" s="15"/>
      <c r="H40" s="15"/>
      <c r="I40" s="15"/>
      <c r="J40" s="15"/>
      <c r="K40" s="15"/>
      <c r="L40" s="15"/>
      <c r="M40" s="779"/>
      <c r="N40" s="15"/>
      <c r="O40" s="15"/>
      <c r="P40" s="15"/>
      <c r="U40" s="9"/>
      <c r="V40" s="9"/>
      <c r="W40" s="75"/>
      <c r="X40" s="9"/>
      <c r="Y40" s="9"/>
      <c r="Z40" s="9"/>
      <c r="AA40" s="9"/>
      <c r="AB40" s="9"/>
      <c r="AC40" s="9"/>
      <c r="AD40" s="9"/>
      <c r="AE40" s="9"/>
      <c r="AF40" s="65" t="s">
        <v>498</v>
      </c>
      <c r="AG40" s="9"/>
      <c r="AH40" s="9"/>
      <c r="AI40" s="9"/>
      <c r="AJ40" s="9"/>
      <c r="AK40" s="9"/>
      <c r="AL40" s="9"/>
      <c r="AM40" s="9"/>
      <c r="AN40" s="9"/>
      <c r="AO40" s="65" t="s">
        <v>498</v>
      </c>
      <c r="AR40" s="66"/>
      <c r="AS40" s="66"/>
      <c r="AT40" s="66"/>
      <c r="AU40" s="66"/>
      <c r="AV40" s="66"/>
    </row>
    <row r="41" spans="1:48" ht="14.25" customHeight="1">
      <c r="R41" s="27"/>
      <c r="S41" s="27"/>
      <c r="T41" s="27"/>
      <c r="U41" s="764"/>
      <c r="V41" s="8"/>
      <c r="W41" s="736"/>
      <c r="X41" s="1298"/>
      <c r="Y41" s="1298"/>
      <c r="Z41" s="1298"/>
      <c r="AA41" s="1298"/>
      <c r="AB41" s="1298"/>
      <c r="AC41" s="1298"/>
      <c r="AD41" s="1298"/>
      <c r="AE41" s="1298"/>
      <c r="AF41" s="1298"/>
      <c r="AG41" s="1298"/>
      <c r="AH41" s="1298"/>
      <c r="AI41" s="1298"/>
      <c r="AJ41" s="1298"/>
      <c r="AK41" s="1298"/>
      <c r="AL41" s="1298"/>
      <c r="AM41" s="1298"/>
      <c r="AN41" s="1298"/>
      <c r="AO41" s="1298"/>
    </row>
    <row r="42" spans="1:48" ht="14.25" customHeight="1">
      <c r="R42" s="27"/>
      <c r="S42" s="27"/>
      <c r="T42" s="27"/>
      <c r="U42" s="1082" t="s">
        <v>302</v>
      </c>
      <c r="V42" s="1082"/>
      <c r="W42" s="1082"/>
      <c r="X42" s="1082"/>
      <c r="Y42" s="1082"/>
      <c r="Z42" s="1082"/>
      <c r="AA42" s="1082"/>
      <c r="AB42" s="1082"/>
      <c r="AC42" s="1082"/>
      <c r="AD42" s="1082"/>
      <c r="AE42" s="1082"/>
      <c r="AF42" s="1082"/>
      <c r="AG42" s="1082"/>
      <c r="AH42" s="1082"/>
      <c r="AI42" s="1082"/>
      <c r="AJ42" s="1082"/>
      <c r="AK42" s="1082"/>
      <c r="AL42" s="1082"/>
      <c r="AM42" s="1082"/>
      <c r="AN42" s="1082"/>
      <c r="AO42" s="1082"/>
      <c r="AP42" s="1082"/>
      <c r="AQ42" s="1082" t="s">
        <v>303</v>
      </c>
    </row>
    <row r="43" spans="1:48" ht="14.25" customHeight="1">
      <c r="R43" s="27"/>
      <c r="S43" s="27"/>
      <c r="T43" s="27"/>
      <c r="U43" s="1299" t="s">
        <v>88</v>
      </c>
      <c r="V43" s="1176" t="s">
        <v>499</v>
      </c>
      <c r="W43" s="171"/>
      <c r="X43" s="1300" t="s">
        <v>500</v>
      </c>
      <c r="Y43" s="1315"/>
      <c r="Z43" s="1315"/>
      <c r="AA43" s="1315"/>
      <c r="AB43" s="1315"/>
      <c r="AC43" s="1301"/>
      <c r="AD43" s="1301"/>
      <c r="AE43" s="1302"/>
      <c r="AF43" s="1303" t="s">
        <v>501</v>
      </c>
      <c r="AG43" s="1300" t="s">
        <v>500</v>
      </c>
      <c r="AH43" s="1315"/>
      <c r="AI43" s="1315"/>
      <c r="AJ43" s="1315"/>
      <c r="AK43" s="1315"/>
      <c r="AL43" s="1301"/>
      <c r="AM43" s="1301"/>
      <c r="AN43" s="1302"/>
      <c r="AO43" s="1303" t="s">
        <v>502</v>
      </c>
      <c r="AP43" s="1306" t="s">
        <v>503</v>
      </c>
      <c r="AQ43" s="1082"/>
    </row>
    <row r="44" spans="1:48" ht="33.75" customHeight="1">
      <c r="R44" s="27"/>
      <c r="S44" s="27"/>
      <c r="T44" s="27"/>
      <c r="U44" s="1299"/>
      <c r="V44" s="1176"/>
      <c r="W44" s="621"/>
      <c r="X44" s="1146" t="s">
        <v>536</v>
      </c>
      <c r="Y44" s="1082" t="s">
        <v>537</v>
      </c>
      <c r="Z44" s="1082"/>
      <c r="AA44" s="1082"/>
      <c r="AB44" s="1082"/>
      <c r="AC44" s="1146" t="s">
        <v>507</v>
      </c>
      <c r="AD44" s="1320"/>
      <c r="AE44" s="1147"/>
      <c r="AF44" s="1304"/>
      <c r="AG44" s="1146" t="s">
        <v>536</v>
      </c>
      <c r="AH44" s="1082" t="s">
        <v>537</v>
      </c>
      <c r="AI44" s="1082"/>
      <c r="AJ44" s="1082"/>
      <c r="AK44" s="1082"/>
      <c r="AL44" s="1146" t="s">
        <v>507</v>
      </c>
      <c r="AM44" s="1320"/>
      <c r="AN44" s="1147"/>
      <c r="AO44" s="1304"/>
      <c r="AP44" s="1307"/>
      <c r="AQ44" s="1082"/>
    </row>
    <row r="45" spans="1:48" ht="14.25" customHeight="1">
      <c r="R45" s="27"/>
      <c r="S45" s="27"/>
      <c r="T45" s="27"/>
      <c r="U45" s="1299"/>
      <c r="V45" s="1176"/>
      <c r="W45" s="621"/>
      <c r="X45" s="1148"/>
      <c r="Y45" s="1183" t="s">
        <v>538</v>
      </c>
      <c r="Z45" s="1182" t="s">
        <v>539</v>
      </c>
      <c r="AA45" s="1194"/>
      <c r="AB45" s="1195"/>
      <c r="AC45" s="1151"/>
      <c r="AD45" s="1321"/>
      <c r="AE45" s="1152"/>
      <c r="AF45" s="1304"/>
      <c r="AG45" s="1148"/>
      <c r="AH45" s="1183" t="s">
        <v>538</v>
      </c>
      <c r="AI45" s="1182" t="s">
        <v>539</v>
      </c>
      <c r="AJ45" s="1194"/>
      <c r="AK45" s="1195"/>
      <c r="AL45" s="1151"/>
      <c r="AM45" s="1321"/>
      <c r="AN45" s="1152"/>
      <c r="AO45" s="1304"/>
      <c r="AP45" s="1307"/>
      <c r="AQ45" s="1082"/>
    </row>
    <row r="46" spans="1:48" ht="25.5" customHeight="1">
      <c r="R46" s="27"/>
      <c r="S46" s="27"/>
      <c r="T46" s="27"/>
      <c r="U46" s="1299"/>
      <c r="V46" s="1176"/>
      <c r="W46" s="621"/>
      <c r="X46" s="1148"/>
      <c r="Y46" s="1319"/>
      <c r="Z46" s="1183" t="s">
        <v>540</v>
      </c>
      <c r="AA46" s="1182" t="s">
        <v>541</v>
      </c>
      <c r="AB46" s="1195"/>
      <c r="AC46" s="1183" t="s">
        <v>517</v>
      </c>
      <c r="AD46" s="1187" t="s">
        <v>518</v>
      </c>
      <c r="AE46" s="1185"/>
      <c r="AF46" s="1304"/>
      <c r="AG46" s="1148"/>
      <c r="AH46" s="1319"/>
      <c r="AI46" s="1183" t="s">
        <v>540</v>
      </c>
      <c r="AJ46" s="1182" t="s">
        <v>541</v>
      </c>
      <c r="AK46" s="1195"/>
      <c r="AL46" s="1183" t="s">
        <v>517</v>
      </c>
      <c r="AM46" s="1187" t="s">
        <v>518</v>
      </c>
      <c r="AN46" s="1185"/>
      <c r="AO46" s="1304"/>
      <c r="AP46" s="1307"/>
      <c r="AQ46" s="1082"/>
    </row>
    <row r="47" spans="1:48" ht="62.25" customHeight="1">
      <c r="A47" s="15"/>
      <c r="B47" s="15" t="s">
        <v>151</v>
      </c>
      <c r="C47" s="15" t="s">
        <v>152</v>
      </c>
      <c r="D47" s="15" t="s">
        <v>153</v>
      </c>
      <c r="E47" s="779" t="s">
        <v>508</v>
      </c>
      <c r="F47" s="779" t="s">
        <v>509</v>
      </c>
      <c r="G47" s="779" t="s">
        <v>510</v>
      </c>
      <c r="H47" s="779" t="s">
        <v>511</v>
      </c>
      <c r="I47" s="779" t="s">
        <v>512</v>
      </c>
      <c r="J47" s="779" t="s">
        <v>513</v>
      </c>
      <c r="K47" s="779" t="s">
        <v>514</v>
      </c>
      <c r="L47" s="779" t="s">
        <v>542</v>
      </c>
      <c r="M47" s="779" t="s">
        <v>489</v>
      </c>
      <c r="R47" s="27"/>
      <c r="S47" s="27"/>
      <c r="T47" s="27"/>
      <c r="U47" s="1299"/>
      <c r="V47" s="1176"/>
      <c r="W47" s="172"/>
      <c r="X47" s="1151"/>
      <c r="Y47" s="1184"/>
      <c r="Z47" s="1184"/>
      <c r="AA47" s="37" t="s">
        <v>543</v>
      </c>
      <c r="AB47" s="37" t="s">
        <v>544</v>
      </c>
      <c r="AC47" s="1184"/>
      <c r="AD47" s="1188"/>
      <c r="AE47" s="1186"/>
      <c r="AF47" s="1305"/>
      <c r="AG47" s="1151"/>
      <c r="AH47" s="1184"/>
      <c r="AI47" s="1184"/>
      <c r="AJ47" s="37" t="s">
        <v>543</v>
      </c>
      <c r="AK47" s="37" t="s">
        <v>544</v>
      </c>
      <c r="AL47" s="1184"/>
      <c r="AM47" s="1188"/>
      <c r="AN47" s="1186"/>
      <c r="AO47" s="1305"/>
      <c r="AP47" s="1308"/>
      <c r="AQ47" s="1082"/>
    </row>
    <row r="48" spans="1:48" s="209" customFormat="1" ht="11.25" hidden="1" customHeight="1">
      <c r="A48" s="15"/>
      <c r="B48" s="15"/>
      <c r="C48" s="15"/>
      <c r="D48" s="15"/>
      <c r="E48" s="15"/>
      <c r="F48" s="15"/>
      <c r="G48" s="15"/>
      <c r="H48" s="15"/>
      <c r="I48" s="15"/>
      <c r="J48" s="15"/>
      <c r="K48" s="15"/>
      <c r="L48" s="15"/>
      <c r="M48" s="779"/>
      <c r="N48" s="32"/>
      <c r="O48" s="32"/>
      <c r="P48" s="32"/>
      <c r="Q48" s="738"/>
      <c r="R48" s="739"/>
      <c r="S48" s="747">
        <v>1</v>
      </c>
      <c r="T48" s="747"/>
      <c r="U48" s="766" t="s">
        <v>119</v>
      </c>
      <c r="V48" s="748" t="s">
        <v>103</v>
      </c>
      <c r="W48" s="737" t="str">
        <f ca="1">OFFSET(W48,0,-1)</f>
        <v>2</v>
      </c>
      <c r="X48" s="749">
        <f ca="1">OFFSET(X48,0,-1)+1</f>
        <v>3</v>
      </c>
      <c r="Y48" s="298"/>
      <c r="Z48" s="298"/>
      <c r="AA48" s="298">
        <f ca="1">OFFSET(AA48,0,-1)+1</f>
        <v>1</v>
      </c>
      <c r="AB48" s="298">
        <f ca="1">OFFSET(AB48,0,-1)+1</f>
        <v>2</v>
      </c>
      <c r="AC48" s="749">
        <f ca="1">OFFSET(AC48,0,-1)+1</f>
        <v>3</v>
      </c>
      <c r="AD48" s="1297">
        <f ca="1">OFFSET(AD48,0,-1)+1</f>
        <v>4</v>
      </c>
      <c r="AE48" s="1297"/>
      <c r="AF48" s="749">
        <f ca="1">OFFSET(AF48,0,-2)+1</f>
        <v>5</v>
      </c>
      <c r="AG48" s="749">
        <f ca="1">OFFSET(AG48,0,-1)+1</f>
        <v>6</v>
      </c>
      <c r="AH48" s="749"/>
      <c r="AI48" s="749"/>
      <c r="AJ48" s="749">
        <f ca="1">OFFSET(AJ48,0,-1)+1</f>
        <v>1</v>
      </c>
      <c r="AK48" s="749">
        <f ca="1">OFFSET(AK48,0,-1)+1</f>
        <v>2</v>
      </c>
      <c r="AL48" s="749">
        <f ca="1">OFFSET(AL48,0,-1)+1</f>
        <v>3</v>
      </c>
      <c r="AM48" s="1297">
        <f ca="1">OFFSET(AM48,0,-1)+1</f>
        <v>4</v>
      </c>
      <c r="AN48" s="1297"/>
      <c r="AO48" s="749">
        <f ca="1">OFFSET(AO48,0,-2)+1</f>
        <v>5</v>
      </c>
      <c r="AP48" s="737">
        <f ca="1">OFFSET(AP48,0,-1)</f>
        <v>5</v>
      </c>
      <c r="AQ48" s="749">
        <f ca="1">OFFSET(AQ48,0,-1)+1</f>
        <v>6</v>
      </c>
      <c r="AR48" s="65"/>
      <c r="AS48" s="65"/>
      <c r="AT48" s="65"/>
      <c r="AU48" s="65"/>
      <c r="AV48" s="65"/>
    </row>
    <row r="49" spans="1:48" ht="21" customHeight="1">
      <c r="A49" s="756" t="s">
        <v>190</v>
      </c>
      <c r="B49" s="756"/>
      <c r="C49" s="756"/>
      <c r="D49" s="756"/>
      <c r="E49" s="1322">
        <v>1</v>
      </c>
      <c r="F49" s="756"/>
      <c r="G49" s="756"/>
      <c r="H49" s="756"/>
      <c r="I49" s="756"/>
      <c r="J49" s="756"/>
      <c r="K49" s="756"/>
      <c r="L49" s="756"/>
      <c r="M49" s="779"/>
      <c r="N49" s="351"/>
      <c r="O49" s="351"/>
      <c r="P49" s="351"/>
      <c r="R49" s="2"/>
      <c r="S49" s="2"/>
      <c r="T49" s="213"/>
      <c r="U49" s="725">
        <f>INDEX(PT_DIFFERENTIATION_NUM_NTAR,MATCH(A49,PT_DIFFERENTIATION_NTAR_ID,0))</f>
        <v>0</v>
      </c>
      <c r="V49" s="64" t="s">
        <v>139</v>
      </c>
      <c r="W49" s="170"/>
      <c r="X49" s="1281"/>
      <c r="Y49" s="1282"/>
      <c r="Z49" s="1282"/>
      <c r="AA49" s="1282"/>
      <c r="AB49" s="1282"/>
      <c r="AC49" s="1282"/>
      <c r="AD49" s="1282"/>
      <c r="AE49" s="1282"/>
      <c r="AF49" s="1283"/>
      <c r="AG49" s="1281" t="str">
        <f>INDEX(PT_DIFFERENTIATION_NTAR,MATCH(A49,PT_DIFFERENTIATION_NTAR_ID,0))</f>
        <v/>
      </c>
      <c r="AH49" s="1282"/>
      <c r="AI49" s="1282"/>
      <c r="AJ49" s="1282"/>
      <c r="AK49" s="1282"/>
      <c r="AL49" s="1282"/>
      <c r="AM49" s="1282"/>
      <c r="AN49" s="1282"/>
      <c r="AO49" s="1282"/>
      <c r="AP49" s="1283"/>
      <c r="AQ49" s="75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6"/>
      <c r="AT49" s="66" t="str">
        <f t="shared" ref="AT49:AT65" si="2">IF(V49="","",V49)</f>
        <v>Наименование тарифа</v>
      </c>
      <c r="AU49" s="66"/>
      <c r="AV49" s="66"/>
    </row>
    <row r="50" spans="1:48" ht="21" customHeight="1">
      <c r="A50" s="756" t="s">
        <v>190</v>
      </c>
      <c r="B50" s="756" t="s">
        <v>191</v>
      </c>
      <c r="C50" s="756"/>
      <c r="D50" s="756"/>
      <c r="E50" s="1323"/>
      <c r="F50" s="1322">
        <v>1</v>
      </c>
      <c r="G50" s="756"/>
      <c r="H50" s="756"/>
      <c r="I50" s="756"/>
      <c r="J50" s="756"/>
      <c r="K50" s="756"/>
      <c r="L50" s="756"/>
      <c r="M50" s="779"/>
      <c r="N50" s="351"/>
      <c r="O50" s="351"/>
      <c r="P50" s="351"/>
      <c r="Q50" s="56"/>
      <c r="R50" s="210"/>
      <c r="S50" s="9"/>
      <c r="T50" s="211"/>
      <c r="U50" s="725" t="str">
        <f>INDEX(PT_DIFFERENTIATION_NUM_TER,MATCH(B50,PT_DIFFERENTIATION_TER_ID,0))</f>
        <v>.</v>
      </c>
      <c r="V50" s="178" t="s">
        <v>471</v>
      </c>
      <c r="W50" s="170"/>
      <c r="X50" s="1281"/>
      <c r="Y50" s="1282"/>
      <c r="Z50" s="1282"/>
      <c r="AA50" s="1282"/>
      <c r="AB50" s="1282"/>
      <c r="AC50" s="1282"/>
      <c r="AD50" s="1282"/>
      <c r="AE50" s="1282"/>
      <c r="AF50" s="1283"/>
      <c r="AG50" s="1281" t="str">
        <f>INDEX(PT_DIFFERENTIATION_TER,MATCH(B50,PT_DIFFERENTIATION_TER_ID,0))</f>
        <v/>
      </c>
      <c r="AH50" s="1282"/>
      <c r="AI50" s="1282"/>
      <c r="AJ50" s="1282"/>
      <c r="AK50" s="1282"/>
      <c r="AL50" s="1282"/>
      <c r="AM50" s="1282"/>
      <c r="AN50" s="1282"/>
      <c r="AO50" s="1282"/>
      <c r="AP50" s="1283"/>
      <c r="AQ50" s="753" t="s">
        <v>472</v>
      </c>
      <c r="AS50" s="66"/>
      <c r="AT50" s="66" t="str">
        <f t="shared" si="2"/>
        <v>Территория действия тарифа</v>
      </c>
      <c r="AU50" s="66"/>
      <c r="AV50" s="66"/>
    </row>
    <row r="51" spans="1:48" ht="22.5" customHeight="1">
      <c r="A51" s="756" t="s">
        <v>190</v>
      </c>
      <c r="B51" s="756" t="s">
        <v>191</v>
      </c>
      <c r="C51" s="756" t="s">
        <v>192</v>
      </c>
      <c r="D51" s="756"/>
      <c r="E51" s="1323"/>
      <c r="F51" s="1323"/>
      <c r="G51" s="1322">
        <v>1</v>
      </c>
      <c r="H51" s="756"/>
      <c r="I51" s="756"/>
      <c r="J51" s="756"/>
      <c r="K51" s="756"/>
      <c r="L51" s="756"/>
      <c r="M51" s="779"/>
      <c r="N51" s="351"/>
      <c r="O51" s="351"/>
      <c r="P51" s="351"/>
      <c r="Q51" s="212"/>
      <c r="R51" s="210"/>
      <c r="S51" s="9"/>
      <c r="T51" s="211"/>
      <c r="U51" s="725" t="str">
        <f>INDEX(PT_DIFFERENTIATION_NUM_CS,MATCH(C51,PT_DIFFERENTIATION_CS_ID,0))</f>
        <v>..</v>
      </c>
      <c r="V51" s="179" t="s">
        <v>473</v>
      </c>
      <c r="W51" s="170"/>
      <c r="X51" s="1281"/>
      <c r="Y51" s="1282"/>
      <c r="Z51" s="1282"/>
      <c r="AA51" s="1282"/>
      <c r="AB51" s="1282"/>
      <c r="AC51" s="1282"/>
      <c r="AD51" s="1282"/>
      <c r="AE51" s="1282"/>
      <c r="AF51" s="1283"/>
      <c r="AG51" s="1281" t="str">
        <f>INDEX(PT_DIFFERENTIATION_CS,MATCH(C51,PT_DIFFERENTIATION_CS_ID,0))</f>
        <v/>
      </c>
      <c r="AH51" s="1282"/>
      <c r="AI51" s="1282"/>
      <c r="AJ51" s="1282"/>
      <c r="AK51" s="1282"/>
      <c r="AL51" s="1282"/>
      <c r="AM51" s="1282"/>
      <c r="AN51" s="1282"/>
      <c r="AO51" s="1282"/>
      <c r="AP51" s="1283"/>
      <c r="AQ51" s="753" t="s">
        <v>474</v>
      </c>
      <c r="AS51" s="66"/>
      <c r="AT51" s="66" t="str">
        <f t="shared" si="2"/>
        <v xml:space="preserve">Наименование системы теплоснабжения </v>
      </c>
      <c r="AU51" s="66"/>
      <c r="AV51" s="66"/>
    </row>
    <row r="52" spans="1:48" ht="21" customHeight="1">
      <c r="A52" s="756" t="s">
        <v>190</v>
      </c>
      <c r="B52" s="756" t="s">
        <v>191</v>
      </c>
      <c r="C52" s="756" t="s">
        <v>192</v>
      </c>
      <c r="D52" s="756" t="s">
        <v>193</v>
      </c>
      <c r="E52" s="1323"/>
      <c r="F52" s="1323"/>
      <c r="G52" s="1323"/>
      <c r="H52" s="1322">
        <v>1</v>
      </c>
      <c r="I52" s="756"/>
      <c r="J52" s="756"/>
      <c r="K52" s="756"/>
      <c r="L52" s="756"/>
      <c r="M52" s="779"/>
      <c r="N52" s="351"/>
      <c r="O52" s="351"/>
      <c r="P52" s="351"/>
      <c r="Q52" s="212"/>
      <c r="R52" s="210"/>
      <c r="S52" s="9"/>
      <c r="T52" s="211"/>
      <c r="U52" s="725" t="str">
        <f>INDEX(PT_DIFFERENTIATION_NUM_IST_TE,MATCH(D52,PT_DIFFERENTIATION_IST_TE_ID,0))</f>
        <v>...</v>
      </c>
      <c r="V52" s="180" t="s">
        <v>475</v>
      </c>
      <c r="W52" s="170"/>
      <c r="X52" s="1281"/>
      <c r="Y52" s="1282"/>
      <c r="Z52" s="1282"/>
      <c r="AA52" s="1282"/>
      <c r="AB52" s="1282"/>
      <c r="AC52" s="1282"/>
      <c r="AD52" s="1282"/>
      <c r="AE52" s="1282"/>
      <c r="AF52" s="1283"/>
      <c r="AG52" s="1281" t="str">
        <f>INDEX(PT_DIFFERENTIATION_IST_TE,MATCH(D52,PT_DIFFERENTIATION_IST_TE_ID,0))</f>
        <v/>
      </c>
      <c r="AH52" s="1282"/>
      <c r="AI52" s="1282"/>
      <c r="AJ52" s="1282"/>
      <c r="AK52" s="1282"/>
      <c r="AL52" s="1282"/>
      <c r="AM52" s="1282"/>
      <c r="AN52" s="1282"/>
      <c r="AO52" s="1282"/>
      <c r="AP52" s="1283"/>
      <c r="AQ52" s="753" t="s">
        <v>476</v>
      </c>
      <c r="AS52" s="66"/>
      <c r="AT52" s="66" t="str">
        <f t="shared" si="2"/>
        <v xml:space="preserve">Источник тепловой энергии  </v>
      </c>
      <c r="AU52" s="66"/>
      <c r="AV52" s="66"/>
    </row>
    <row r="53" spans="1:48" s="65" customFormat="1" ht="0" hidden="1" customHeight="1">
      <c r="A53" s="798" t="s">
        <v>190</v>
      </c>
      <c r="B53" s="798" t="s">
        <v>191</v>
      </c>
      <c r="C53" s="798" t="s">
        <v>192</v>
      </c>
      <c r="D53" s="798" t="s">
        <v>193</v>
      </c>
      <c r="E53" s="1323"/>
      <c r="F53" s="1323"/>
      <c r="G53" s="1323"/>
      <c r="H53" s="1323"/>
      <c r="I53" s="1082" t="str">
        <f>U52&amp;".1"</f>
        <v>....1</v>
      </c>
      <c r="J53" s="798"/>
      <c r="K53" s="798"/>
      <c r="L53" s="798"/>
      <c r="M53" s="799" t="s">
        <v>477</v>
      </c>
      <c r="N53" s="738"/>
      <c r="O53" s="738"/>
      <c r="P53" s="738"/>
      <c r="Q53" s="1211">
        <v>1</v>
      </c>
      <c r="R53" s="119"/>
      <c r="S53" s="119"/>
      <c r="T53" s="214"/>
      <c r="U53" s="371"/>
      <c r="V53" s="803"/>
      <c r="W53" s="804"/>
      <c r="X53" s="1316"/>
      <c r="Y53" s="1317"/>
      <c r="Z53" s="1317"/>
      <c r="AA53" s="1317"/>
      <c r="AB53" s="1317"/>
      <c r="AC53" s="1317"/>
      <c r="AD53" s="1317"/>
      <c r="AE53" s="1317"/>
      <c r="AF53" s="1318"/>
      <c r="AG53" s="1316"/>
      <c r="AH53" s="1317"/>
      <c r="AI53" s="1317"/>
      <c r="AJ53" s="1317"/>
      <c r="AK53" s="1317"/>
      <c r="AL53" s="1317"/>
      <c r="AM53" s="1317"/>
      <c r="AN53" s="1317"/>
      <c r="AO53" s="1317"/>
      <c r="AP53" s="1318"/>
      <c r="AQ53" s="805"/>
      <c r="AS53" s="66"/>
      <c r="AT53" s="66" t="str">
        <f t="shared" si="2"/>
        <v/>
      </c>
      <c r="AU53" s="66"/>
      <c r="AV53" s="66"/>
    </row>
    <row r="54" spans="1:48" ht="21" customHeight="1">
      <c r="A54" s="756" t="s">
        <v>190</v>
      </c>
      <c r="B54" s="756" t="s">
        <v>191</v>
      </c>
      <c r="C54" s="756" t="s">
        <v>192</v>
      </c>
      <c r="D54" s="756" t="s">
        <v>193</v>
      </c>
      <c r="E54" s="1323"/>
      <c r="F54" s="1323"/>
      <c r="G54" s="1323"/>
      <c r="H54" s="1323"/>
      <c r="I54" s="1063"/>
      <c r="J54" s="1082" t="str">
        <f>I53&amp;".1"</f>
        <v>....1.1</v>
      </c>
      <c r="K54" s="756"/>
      <c r="L54" s="756"/>
      <c r="M54" s="779" t="s">
        <v>480</v>
      </c>
      <c r="Q54" s="1211"/>
      <c r="R54" s="1211">
        <v>1</v>
      </c>
      <c r="S54" s="65"/>
      <c r="T54" s="215"/>
      <c r="U54" s="725" t="str">
        <f>$J54</f>
        <v>....1.1</v>
      </c>
      <c r="V54" s="164" t="s">
        <v>481</v>
      </c>
      <c r="W54" s="170"/>
      <c r="X54" s="1275"/>
      <c r="Y54" s="1276"/>
      <c r="Z54" s="1276"/>
      <c r="AA54" s="1276"/>
      <c r="AB54" s="1276"/>
      <c r="AC54" s="1198"/>
      <c r="AD54" s="1198"/>
      <c r="AE54" s="1198"/>
      <c r="AF54" s="1324"/>
      <c r="AG54" s="1275"/>
      <c r="AH54" s="1276"/>
      <c r="AI54" s="1276"/>
      <c r="AJ54" s="1276"/>
      <c r="AK54" s="1276"/>
      <c r="AL54" s="1276"/>
      <c r="AM54" s="1276"/>
      <c r="AN54" s="1276"/>
      <c r="AO54" s="1276"/>
      <c r="AP54" s="1277"/>
      <c r="AQ54" s="753" t="s">
        <v>482</v>
      </c>
      <c r="AS54" s="66"/>
      <c r="AT54" s="66" t="str">
        <f t="shared" si="2"/>
        <v>Группа потребителей</v>
      </c>
      <c r="AU54" s="66"/>
      <c r="AV54" s="66"/>
    </row>
    <row r="55" spans="1:48" ht="21" customHeight="1">
      <c r="A55" s="756" t="s">
        <v>190</v>
      </c>
      <c r="B55" s="756" t="s">
        <v>191</v>
      </c>
      <c r="C55" s="756" t="s">
        <v>192</v>
      </c>
      <c r="D55" s="756" t="s">
        <v>193</v>
      </c>
      <c r="E55" s="1323"/>
      <c r="F55" s="1323"/>
      <c r="G55" s="1323"/>
      <c r="H55" s="1323"/>
      <c r="I55" s="1063"/>
      <c r="J55" s="1063"/>
      <c r="K55" s="1082" t="str">
        <f>J54&amp;".1"</f>
        <v>....1.1.1</v>
      </c>
      <c r="L55" s="56"/>
      <c r="M55" s="779" t="s">
        <v>483</v>
      </c>
      <c r="Q55" s="1211"/>
      <c r="R55" s="1211"/>
      <c r="S55" s="65">
        <v>1</v>
      </c>
      <c r="T55" s="215"/>
      <c r="U55" s="725" t="str">
        <f>$K55</f>
        <v>....1.1.1</v>
      </c>
      <c r="V55" s="789"/>
      <c r="W55" s="170"/>
      <c r="X55" s="317"/>
      <c r="Y55" s="317"/>
      <c r="Z55" s="317"/>
      <c r="AA55" s="317"/>
      <c r="AB55" s="822"/>
      <c r="AC55" s="1291"/>
      <c r="AD55" s="1092" t="s">
        <v>59</v>
      </c>
      <c r="AE55" s="1291"/>
      <c r="AF55" s="1092" t="s">
        <v>59</v>
      </c>
      <c r="AG55" s="824"/>
      <c r="AH55" s="317"/>
      <c r="AI55" s="317"/>
      <c r="AJ55" s="317"/>
      <c r="AK55" s="752"/>
      <c r="AL55" s="1291"/>
      <c r="AM55" s="1092" t="s">
        <v>59</v>
      </c>
      <c r="AN55" s="1291"/>
      <c r="AO55" s="1092" t="s">
        <v>59</v>
      </c>
      <c r="AP55" s="790"/>
      <c r="AQ55" s="778" t="s">
        <v>533</v>
      </c>
      <c r="AR55" s="65" t="e">
        <f ca="1">STRCHECKDATE(X57:AP57)</f>
        <v>#NAME?</v>
      </c>
      <c r="AS55" s="66"/>
      <c r="AT55" s="66" t="str">
        <f t="shared" si="2"/>
        <v/>
      </c>
      <c r="AU55" s="66"/>
      <c r="AV55" s="66"/>
    </row>
    <row r="56" spans="1:48" ht="11.25" customHeight="1">
      <c r="A56" s="756" t="s">
        <v>190</v>
      </c>
      <c r="B56" s="756" t="s">
        <v>191</v>
      </c>
      <c r="C56" s="756" t="s">
        <v>192</v>
      </c>
      <c r="D56" s="756" t="s">
        <v>193</v>
      </c>
      <c r="E56" s="1323"/>
      <c r="F56" s="1323"/>
      <c r="G56" s="1323"/>
      <c r="H56" s="1323"/>
      <c r="I56" s="1063"/>
      <c r="J56" s="1063"/>
      <c r="K56" s="1063"/>
      <c r="L56" s="1082" t="str">
        <f>K55&amp;".1"</f>
        <v>....1.1.1.1</v>
      </c>
      <c r="M56" s="779"/>
      <c r="Q56" s="1211"/>
      <c r="R56" s="1211"/>
      <c r="S56" s="65">
        <v>1</v>
      </c>
      <c r="T56" s="215"/>
      <c r="U56" s="725" t="str">
        <f>$L56</f>
        <v>....1.1.1.1</v>
      </c>
      <c r="V56" s="811"/>
      <c r="W56" s="170"/>
      <c r="X56" s="196"/>
      <c r="Y56" s="317"/>
      <c r="Z56" s="317"/>
      <c r="AA56" s="317"/>
      <c r="AB56" s="822"/>
      <c r="AC56" s="1292"/>
      <c r="AD56" s="1092"/>
      <c r="AE56" s="1292"/>
      <c r="AF56" s="1092"/>
      <c r="AG56" s="824"/>
      <c r="AH56" s="317"/>
      <c r="AI56" s="317"/>
      <c r="AJ56" s="317"/>
      <c r="AK56" s="752"/>
      <c r="AL56" s="1292"/>
      <c r="AM56" s="1092"/>
      <c r="AN56" s="1292"/>
      <c r="AO56" s="1092"/>
      <c r="AP56" s="790"/>
      <c r="AQ56" s="1309" t="s">
        <v>534</v>
      </c>
      <c r="AR56" s="65" t="e">
        <f ca="1">STRCHECKDATE(X58:AP58)</f>
        <v>#NAME?</v>
      </c>
      <c r="AS56" s="66"/>
      <c r="AT56" s="66" t="str">
        <f t="shared" si="2"/>
        <v/>
      </c>
      <c r="AU56" s="66"/>
      <c r="AV56" s="66"/>
    </row>
    <row r="57" spans="1:48" ht="0" hidden="1" customHeight="1">
      <c r="A57" s="756" t="s">
        <v>190</v>
      </c>
      <c r="B57" s="756" t="s">
        <v>191</v>
      </c>
      <c r="C57" s="756" t="s">
        <v>192</v>
      </c>
      <c r="D57" s="756" t="s">
        <v>193</v>
      </c>
      <c r="E57" s="1323"/>
      <c r="F57" s="1323"/>
      <c r="G57" s="1323"/>
      <c r="H57" s="1323"/>
      <c r="I57" s="1063"/>
      <c r="J57" s="1063"/>
      <c r="K57" s="1063"/>
      <c r="L57" s="1082"/>
      <c r="M57" s="779"/>
      <c r="Q57" s="1211"/>
      <c r="R57" s="1211"/>
      <c r="S57" s="65"/>
      <c r="T57" s="215"/>
      <c r="U57" s="62"/>
      <c r="V57" s="170"/>
      <c r="W57" s="170"/>
      <c r="X57" s="196"/>
      <c r="Y57" s="196"/>
      <c r="Z57" s="196"/>
      <c r="AA57" s="196"/>
      <c r="AB57" s="823" t="str">
        <f>AC55&amp;"-"&amp;AE55</f>
        <v>-</v>
      </c>
      <c r="AC57" s="1292"/>
      <c r="AD57" s="1092"/>
      <c r="AE57" s="1292"/>
      <c r="AF57" s="1092"/>
      <c r="AG57" s="802"/>
      <c r="AH57" s="196"/>
      <c r="AI57" s="196"/>
      <c r="AJ57" s="196"/>
      <c r="AK57" s="198" t="str">
        <f>AL55&amp;"-"&amp;AN55</f>
        <v>-</v>
      </c>
      <c r="AL57" s="1292"/>
      <c r="AM57" s="1092"/>
      <c r="AN57" s="1292"/>
      <c r="AO57" s="1092"/>
      <c r="AP57" s="791"/>
      <c r="AQ57" s="1310"/>
      <c r="AS57" s="66"/>
      <c r="AT57" s="66" t="str">
        <f t="shared" si="2"/>
        <v/>
      </c>
      <c r="AU57" s="66"/>
      <c r="AV57" s="66"/>
    </row>
    <row r="58" spans="1:48" ht="11.25" customHeight="1">
      <c r="A58" s="756" t="s">
        <v>190</v>
      </c>
      <c r="B58" s="756" t="s">
        <v>191</v>
      </c>
      <c r="C58" s="756" t="s">
        <v>192</v>
      </c>
      <c r="D58" s="756" t="s">
        <v>193</v>
      </c>
      <c r="E58" s="1323"/>
      <c r="F58" s="1323"/>
      <c r="G58" s="1323"/>
      <c r="H58" s="1323"/>
      <c r="I58" s="1063"/>
      <c r="J58" s="1063"/>
      <c r="K58" s="1082"/>
      <c r="L58" s="756"/>
      <c r="M58" s="779"/>
      <c r="Q58" s="1211"/>
      <c r="R58" s="1211"/>
      <c r="S58" s="119"/>
      <c r="T58" s="214"/>
      <c r="U58" s="767"/>
      <c r="V58" s="166" t="s">
        <v>535</v>
      </c>
      <c r="W58" s="221"/>
      <c r="X58" s="221"/>
      <c r="Y58" s="221"/>
      <c r="Z58" s="221"/>
      <c r="AA58" s="221"/>
      <c r="AB58" s="221"/>
      <c r="AC58" s="1292"/>
      <c r="AD58" s="1092"/>
      <c r="AE58" s="1292"/>
      <c r="AF58" s="1092"/>
      <c r="AG58" s="221"/>
      <c r="AH58" s="221"/>
      <c r="AI58" s="221"/>
      <c r="AJ58" s="221"/>
      <c r="AK58" s="221"/>
      <c r="AL58" s="1292"/>
      <c r="AM58" s="1092"/>
      <c r="AN58" s="1292"/>
      <c r="AO58" s="1092"/>
      <c r="AP58" s="195"/>
      <c r="AQ58" s="1310"/>
      <c r="AS58" s="66"/>
      <c r="AT58" s="66" t="str">
        <f t="shared" si="2"/>
        <v>Добавить наименование поставщика</v>
      </c>
      <c r="AU58" s="66"/>
      <c r="AV58" s="66"/>
    </row>
    <row r="59" spans="1:48" ht="11.25" customHeight="1">
      <c r="A59" s="756" t="s">
        <v>190</v>
      </c>
      <c r="B59" s="756" t="s">
        <v>191</v>
      </c>
      <c r="C59" s="756" t="s">
        <v>192</v>
      </c>
      <c r="D59" s="756" t="s">
        <v>193</v>
      </c>
      <c r="E59" s="1323"/>
      <c r="F59" s="1323"/>
      <c r="G59" s="1323"/>
      <c r="H59" s="1323"/>
      <c r="I59" s="1063"/>
      <c r="J59" s="1082"/>
      <c r="K59" s="756"/>
      <c r="L59" s="756"/>
      <c r="M59" s="779"/>
      <c r="Q59" s="1211"/>
      <c r="R59" s="1211"/>
      <c r="S59" s="119"/>
      <c r="T59" s="214"/>
      <c r="U59" s="767"/>
      <c r="V59" s="165" t="s">
        <v>485</v>
      </c>
      <c r="W59" s="221"/>
      <c r="X59" s="221"/>
      <c r="Y59" s="221"/>
      <c r="Z59" s="221"/>
      <c r="AA59" s="221"/>
      <c r="AB59" s="221"/>
      <c r="AC59" s="825"/>
      <c r="AD59" s="825"/>
      <c r="AE59" s="825"/>
      <c r="AF59" s="825"/>
      <c r="AG59" s="221"/>
      <c r="AH59" s="221"/>
      <c r="AI59" s="221"/>
      <c r="AJ59" s="221"/>
      <c r="AK59" s="221"/>
      <c r="AL59" s="221"/>
      <c r="AM59" s="221"/>
      <c r="AN59" s="221"/>
      <c r="AO59" s="221"/>
      <c r="AP59" s="195"/>
      <c r="AQ59" s="1311"/>
      <c r="AS59" s="66"/>
      <c r="AT59" s="66" t="str">
        <f t="shared" si="2"/>
        <v>Добавить вид теплоносителя (параметры теплоносителя)</v>
      </c>
      <c r="AU59" s="66"/>
      <c r="AV59" s="66"/>
    </row>
    <row r="60" spans="1:48" ht="11.25" customHeight="1">
      <c r="A60" s="756" t="s">
        <v>190</v>
      </c>
      <c r="B60" s="756" t="s">
        <v>191</v>
      </c>
      <c r="C60" s="756" t="s">
        <v>192</v>
      </c>
      <c r="D60" s="756" t="s">
        <v>193</v>
      </c>
      <c r="E60" s="1323"/>
      <c r="F60" s="1323"/>
      <c r="G60" s="1323"/>
      <c r="H60" s="1323"/>
      <c r="I60" s="1082"/>
      <c r="J60" s="756"/>
      <c r="K60" s="756"/>
      <c r="L60" s="756"/>
      <c r="M60" s="779"/>
      <c r="Q60" s="1211"/>
      <c r="R60" s="119"/>
      <c r="S60" s="119"/>
      <c r="T60" s="214"/>
      <c r="U60" s="767"/>
      <c r="V60" s="219" t="s">
        <v>486</v>
      </c>
      <c r="W60" s="221"/>
      <c r="X60" s="221"/>
      <c r="Y60" s="221"/>
      <c r="Z60" s="221"/>
      <c r="AA60" s="221"/>
      <c r="AB60" s="221"/>
      <c r="AC60" s="221"/>
      <c r="AD60" s="221"/>
      <c r="AE60" s="221"/>
      <c r="AF60" s="197"/>
      <c r="AG60" s="221"/>
      <c r="AH60" s="221"/>
      <c r="AI60" s="221"/>
      <c r="AJ60" s="221"/>
      <c r="AK60" s="221"/>
      <c r="AL60" s="221"/>
      <c r="AM60" s="221"/>
      <c r="AN60" s="221"/>
      <c r="AO60" s="197"/>
      <c r="AP60" s="221"/>
      <c r="AQ60" s="173"/>
      <c r="AS60" s="66"/>
      <c r="AT60" s="66" t="str">
        <f t="shared" si="2"/>
        <v>Добавить группу потребителей</v>
      </c>
      <c r="AU60" s="66"/>
      <c r="AV60" s="66"/>
    </row>
    <row r="61" spans="1:48" ht="0" hidden="1" customHeight="1">
      <c r="A61" s="756" t="s">
        <v>190</v>
      </c>
      <c r="B61" s="756" t="s">
        <v>191</v>
      </c>
      <c r="C61" s="756" t="s">
        <v>192</v>
      </c>
      <c r="D61" s="756" t="s">
        <v>193</v>
      </c>
      <c r="E61" s="1323"/>
      <c r="F61" s="1323"/>
      <c r="G61" s="1323"/>
      <c r="H61" s="1322"/>
      <c r="I61" s="756"/>
      <c r="J61" s="756"/>
      <c r="K61" s="756"/>
      <c r="L61" s="756"/>
      <c r="M61" s="779"/>
      <c r="N61" s="351"/>
      <c r="O61" s="351"/>
      <c r="P61" s="9"/>
      <c r="Q61" s="2"/>
      <c r="R61" s="224"/>
      <c r="S61" s="213"/>
      <c r="T61" s="2"/>
      <c r="U61" s="806"/>
      <c r="V61" s="807"/>
      <c r="W61" s="808"/>
      <c r="X61" s="808"/>
      <c r="Y61" s="808"/>
      <c r="Z61" s="808"/>
      <c r="AA61" s="808"/>
      <c r="AB61" s="808"/>
      <c r="AC61" s="808"/>
      <c r="AD61" s="808"/>
      <c r="AE61" s="808"/>
      <c r="AF61" s="808"/>
      <c r="AG61" s="808"/>
      <c r="AH61" s="808"/>
      <c r="AI61" s="808"/>
      <c r="AJ61" s="808"/>
      <c r="AK61" s="808"/>
      <c r="AL61" s="808"/>
      <c r="AM61" s="808"/>
      <c r="AN61" s="808"/>
      <c r="AO61" s="808"/>
      <c r="AP61" s="808"/>
      <c r="AQ61" s="809"/>
      <c r="AS61" s="66"/>
      <c r="AT61" s="66" t="str">
        <f t="shared" si="2"/>
        <v/>
      </c>
      <c r="AU61" s="66"/>
      <c r="AV61" s="66"/>
    </row>
    <row r="62" spans="1:48" s="65" customFormat="1" ht="0" hidden="1" customHeight="1">
      <c r="A62" s="798" t="s">
        <v>190</v>
      </c>
      <c r="B62" s="798" t="s">
        <v>191</v>
      </c>
      <c r="C62" s="798" t="s">
        <v>192</v>
      </c>
      <c r="D62" s="798"/>
      <c r="E62" s="1323"/>
      <c r="F62" s="1323"/>
      <c r="G62" s="1322"/>
      <c r="H62" s="798"/>
      <c r="I62" s="798"/>
      <c r="J62" s="798"/>
      <c r="K62" s="798"/>
      <c r="L62" s="798"/>
      <c r="M62" s="799"/>
      <c r="N62" s="800"/>
      <c r="O62" s="800"/>
      <c r="P62" s="209"/>
      <c r="Q62" s="101"/>
      <c r="R62" s="780"/>
      <c r="S62" s="101"/>
      <c r="T62" s="101"/>
      <c r="U62" s="785"/>
      <c r="V62" s="787" t="s">
        <v>444</v>
      </c>
      <c r="W62" s="323"/>
      <c r="X62" s="323"/>
      <c r="Y62" s="323"/>
      <c r="Z62" s="323"/>
      <c r="AA62" s="323"/>
      <c r="AB62" s="323"/>
      <c r="AC62" s="323"/>
      <c r="AD62" s="323"/>
      <c r="AE62" s="323"/>
      <c r="AF62" s="323"/>
      <c r="AG62" s="323"/>
      <c r="AH62" s="323"/>
      <c r="AI62" s="323"/>
      <c r="AJ62" s="323"/>
      <c r="AK62" s="323"/>
      <c r="AL62" s="323"/>
      <c r="AM62" s="323"/>
      <c r="AN62" s="323"/>
      <c r="AO62" s="323"/>
      <c r="AP62" s="323"/>
      <c r="AQ62" s="323"/>
      <c r="AS62" s="66"/>
      <c r="AT62" s="66" t="str">
        <f t="shared" si="2"/>
        <v>Добавить источник для дифференциации</v>
      </c>
      <c r="AU62" s="66"/>
      <c r="AV62" s="66"/>
    </row>
    <row r="63" spans="1:48" s="65" customFormat="1" ht="0" hidden="1" customHeight="1">
      <c r="A63" s="798" t="s">
        <v>190</v>
      </c>
      <c r="B63" s="798" t="s">
        <v>191</v>
      </c>
      <c r="C63" s="798"/>
      <c r="D63" s="798"/>
      <c r="E63" s="1323"/>
      <c r="F63" s="1322"/>
      <c r="G63" s="798"/>
      <c r="H63" s="798"/>
      <c r="I63" s="798"/>
      <c r="J63" s="798"/>
      <c r="K63" s="798"/>
      <c r="L63" s="798"/>
      <c r="M63" s="799"/>
      <c r="N63" s="801"/>
      <c r="O63" s="801"/>
      <c r="P63" s="209"/>
      <c r="Q63" s="101"/>
      <c r="R63" s="780"/>
      <c r="S63" s="101"/>
      <c r="T63" s="101"/>
      <c r="U63" s="785"/>
      <c r="V63" s="787" t="s">
        <v>445</v>
      </c>
      <c r="W63" s="323"/>
      <c r="X63" s="323"/>
      <c r="Y63" s="323"/>
      <c r="Z63" s="323"/>
      <c r="AA63" s="323"/>
      <c r="AB63" s="323"/>
      <c r="AC63" s="323"/>
      <c r="AD63" s="323"/>
      <c r="AE63" s="323"/>
      <c r="AF63" s="323"/>
      <c r="AG63" s="323"/>
      <c r="AH63" s="323"/>
      <c r="AI63" s="323"/>
      <c r="AJ63" s="323"/>
      <c r="AK63" s="323"/>
      <c r="AL63" s="323"/>
      <c r="AM63" s="323"/>
      <c r="AN63" s="323"/>
      <c r="AO63" s="323"/>
      <c r="AP63" s="323"/>
      <c r="AQ63" s="323"/>
      <c r="AS63" s="66"/>
      <c r="AT63" s="66" t="str">
        <f t="shared" si="2"/>
        <v>Добавить централизованную систему для дифференциации</v>
      </c>
      <c r="AU63" s="66"/>
      <c r="AV63" s="66"/>
    </row>
    <row r="64" spans="1:48" s="65" customFormat="1" ht="0" hidden="1" customHeight="1">
      <c r="A64" s="798" t="s">
        <v>190</v>
      </c>
      <c r="B64" s="798"/>
      <c r="C64" s="798"/>
      <c r="D64" s="798"/>
      <c r="E64" s="1322"/>
      <c r="F64" s="798"/>
      <c r="G64" s="798"/>
      <c r="H64" s="798"/>
      <c r="I64" s="798"/>
      <c r="J64" s="798"/>
      <c r="K64" s="798"/>
      <c r="L64" s="798"/>
      <c r="M64" s="799"/>
      <c r="N64" s="801"/>
      <c r="O64" s="801"/>
      <c r="P64" s="209"/>
      <c r="Q64" s="101"/>
      <c r="R64" s="780"/>
      <c r="S64" s="101"/>
      <c r="T64" s="101"/>
      <c r="U64" s="785"/>
      <c r="V64" s="787" t="s">
        <v>446</v>
      </c>
      <c r="W64" s="323"/>
      <c r="X64" s="323"/>
      <c r="Y64" s="323"/>
      <c r="Z64" s="323"/>
      <c r="AA64" s="323"/>
      <c r="AB64" s="323"/>
      <c r="AC64" s="323"/>
      <c r="AD64" s="323"/>
      <c r="AE64" s="323"/>
      <c r="AF64" s="323"/>
      <c r="AG64" s="323"/>
      <c r="AH64" s="323"/>
      <c r="AI64" s="323"/>
      <c r="AJ64" s="323"/>
      <c r="AK64" s="323"/>
      <c r="AL64" s="323"/>
      <c r="AM64" s="323"/>
      <c r="AN64" s="323"/>
      <c r="AO64" s="323"/>
      <c r="AP64" s="323"/>
      <c r="AQ64" s="323"/>
      <c r="AS64" s="66"/>
      <c r="AT64" s="66" t="str">
        <f t="shared" si="2"/>
        <v>Добавить территорию для дифференциации</v>
      </c>
      <c r="AU64" s="66"/>
      <c r="AV64" s="66"/>
    </row>
    <row r="65" spans="1:48" s="65" customFormat="1" ht="5.25" customHeight="1">
      <c r="A65" s="798"/>
      <c r="B65" s="798"/>
      <c r="C65" s="798"/>
      <c r="D65" s="798"/>
      <c r="E65" s="798"/>
      <c r="F65" s="798"/>
      <c r="G65" s="798"/>
      <c r="H65" s="798"/>
      <c r="I65" s="798"/>
      <c r="J65" s="798"/>
      <c r="K65" s="798"/>
      <c r="L65" s="798"/>
      <c r="M65" s="799"/>
      <c r="N65" s="801"/>
      <c r="O65" s="801"/>
      <c r="P65" s="209"/>
      <c r="Q65" s="101"/>
      <c r="R65" s="780"/>
      <c r="S65" s="101"/>
      <c r="T65" s="101"/>
      <c r="U65" s="785"/>
      <c r="V65" s="787" t="s">
        <v>447</v>
      </c>
      <c r="W65" s="323"/>
      <c r="X65" s="323"/>
      <c r="Y65" s="323"/>
      <c r="Z65" s="323"/>
      <c r="AA65" s="323"/>
      <c r="AB65" s="323"/>
      <c r="AC65" s="323"/>
      <c r="AD65" s="323"/>
      <c r="AE65" s="323"/>
      <c r="AF65" s="323"/>
      <c r="AG65" s="323"/>
      <c r="AH65" s="323"/>
      <c r="AI65" s="323"/>
      <c r="AJ65" s="323"/>
      <c r="AK65" s="323"/>
      <c r="AL65" s="323"/>
      <c r="AM65" s="323"/>
      <c r="AN65" s="323"/>
      <c r="AO65" s="323"/>
      <c r="AP65" s="323"/>
      <c r="AQ65" s="323"/>
      <c r="AS65" s="66"/>
      <c r="AT65" s="66" t="str">
        <f t="shared" si="2"/>
        <v>Добавить наименование тарифа</v>
      </c>
      <c r="AU65" s="66"/>
      <c r="AV65" s="66"/>
    </row>
    <row r="66" spans="1:48" ht="11.25" hidden="1" customHeight="1">
      <c r="N66" s="9"/>
      <c r="O66" s="9"/>
      <c r="P66" s="9"/>
      <c r="Q66" s="9"/>
      <c r="R66" s="9"/>
      <c r="S66" s="9"/>
      <c r="T66" s="9"/>
      <c r="U66" s="9"/>
      <c r="AR66" s="9"/>
      <c r="AS66" s="9"/>
      <c r="AT66" s="9"/>
      <c r="AU66" s="9"/>
      <c r="AV66" s="9"/>
    </row>
    <row r="67" spans="1:48" ht="33.75" hidden="1" customHeight="1">
      <c r="P67" s="9"/>
      <c r="U67" s="204" t="s">
        <v>519</v>
      </c>
      <c r="V67" s="1286" t="s">
        <v>529</v>
      </c>
      <c r="W67" s="1286"/>
      <c r="X67" s="1286"/>
      <c r="Y67" s="1286"/>
      <c r="Z67" s="1286"/>
      <c r="AA67" s="1286"/>
      <c r="AB67" s="1286"/>
      <c r="AC67" s="1286"/>
      <c r="AD67" s="1286"/>
      <c r="AE67" s="1286"/>
      <c r="AF67" s="1286"/>
      <c r="AG67" s="1286"/>
      <c r="AH67" s="1286"/>
      <c r="AI67" s="1286"/>
      <c r="AJ67" s="1286"/>
      <c r="AK67" s="1286"/>
      <c r="AL67" s="1286"/>
      <c r="AM67" s="1286"/>
      <c r="AN67" s="1286"/>
      <c r="AO67" s="1286"/>
      <c r="AP67" s="1286"/>
      <c r="AQ67" s="1286"/>
    </row>
    <row r="68" spans="1:48" ht="19.5" hidden="1" customHeight="1">
      <c r="P68" s="9"/>
      <c r="V68" s="1286" t="s">
        <v>545</v>
      </c>
      <c r="W68" s="1286"/>
      <c r="X68" s="1286"/>
      <c r="Y68" s="1286"/>
      <c r="Z68" s="1286"/>
      <c r="AA68" s="1286"/>
      <c r="AB68" s="1286"/>
      <c r="AC68" s="1286"/>
      <c r="AD68" s="1286"/>
      <c r="AE68" s="1286"/>
      <c r="AF68" s="1286"/>
      <c r="AG68" s="1286"/>
      <c r="AH68" s="1286"/>
      <c r="AI68" s="1286"/>
      <c r="AJ68" s="1286"/>
      <c r="AK68" s="1286"/>
      <c r="AL68" s="1286"/>
      <c r="AM68" s="1286"/>
      <c r="AN68" s="1286"/>
      <c r="AO68" s="1286"/>
      <c r="AP68" s="1286"/>
      <c r="AQ68" s="1286"/>
    </row>
    <row r="69" spans="1:48" ht="14.25" hidden="1" customHeight="1">
      <c r="P69" s="9"/>
    </row>
    <row r="70" spans="1:48" ht="27" hidden="1" customHeight="1">
      <c r="P70" s="9"/>
      <c r="V70" s="1286" t="s">
        <v>546</v>
      </c>
      <c r="W70" s="1286"/>
      <c r="X70" s="1286"/>
      <c r="Y70" s="1286"/>
      <c r="Z70" s="1286"/>
      <c r="AA70" s="1286"/>
      <c r="AB70" s="1286"/>
      <c r="AC70" s="1286"/>
      <c r="AD70" s="1286"/>
      <c r="AE70" s="1286"/>
      <c r="AF70" s="1286"/>
      <c r="AG70" s="1286"/>
      <c r="AH70" s="1286"/>
      <c r="AI70" s="1286"/>
      <c r="AJ70" s="1286"/>
      <c r="AK70" s="1286"/>
      <c r="AL70" s="1286"/>
      <c r="AM70" s="1286"/>
      <c r="AN70" s="1286"/>
      <c r="AO70" s="1286"/>
      <c r="AP70" s="1286"/>
      <c r="AQ70" s="1286"/>
    </row>
    <row r="71" spans="1:48" ht="18" hidden="1" customHeight="1">
      <c r="P71" s="9"/>
      <c r="V71" s="1286" t="s">
        <v>545</v>
      </c>
      <c r="W71" s="1286"/>
      <c r="X71" s="1286"/>
      <c r="Y71" s="1286"/>
      <c r="Z71" s="1286"/>
      <c r="AA71" s="1286"/>
      <c r="AB71" s="1286"/>
      <c r="AC71" s="1286"/>
      <c r="AD71" s="1286"/>
      <c r="AE71" s="1286"/>
      <c r="AF71" s="1286"/>
      <c r="AG71" s="1286"/>
      <c r="AH71" s="1286"/>
      <c r="AI71" s="1286"/>
      <c r="AJ71" s="1286"/>
      <c r="AK71" s="1286"/>
      <c r="AL71" s="1286"/>
      <c r="AM71" s="1286"/>
      <c r="AN71" s="1286"/>
      <c r="AO71" s="1286"/>
      <c r="AP71" s="1286"/>
      <c r="AQ71" s="1286"/>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B9B95-3CDF-CA16-31EF-DE09E5E8ADF7}">
  <sheetPr>
    <tabColor theme="6" tint="0.39997558519241921"/>
  </sheetPr>
  <dimension ref="A1:AZ69"/>
  <sheetViews>
    <sheetView showGridLines="0" topLeftCell="R26"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19" hidden="1" customWidth="1"/>
    <col min="15" max="15" width="23.42578125" style="519" hidden="1" customWidth="1"/>
    <col min="16" max="16" width="3.7109375" style="519" hidden="1" customWidth="1"/>
    <col min="17" max="17" width="3.7109375" style="796" hidden="1" customWidth="1"/>
    <col min="18" max="18" width="3.7109375" style="28" customWidth="1"/>
    <col min="19" max="19" width="12.7109375" style="351" customWidth="1"/>
    <col min="20" max="20" width="32" style="9" customWidth="1"/>
    <col min="21" max="21" width="0.140625" style="9" customWidth="1"/>
    <col min="22" max="23" width="21.7109375" style="9" hidden="1" customWidth="1"/>
    <col min="24" max="24" width="11.7109375" style="9" hidden="1" customWidth="1"/>
    <col min="25" max="25" width="3.7109375" style="9" hidden="1" customWidth="1"/>
    <col min="26" max="26" width="11.7109375" style="9" hidden="1" customWidth="1"/>
    <col min="27" max="27" width="8.5703125" style="9" hidden="1" customWidth="1"/>
    <col min="28" max="28" width="5.42578125" style="9" customWidth="1"/>
    <col min="29" max="30" width="3.7109375" style="9" customWidth="1"/>
    <col min="31" max="31" width="24.7109375" style="9" customWidth="1"/>
    <col min="32" max="34" width="3.7109375" style="9" customWidth="1"/>
    <col min="35" max="35" width="24.7109375" style="9" customWidth="1"/>
    <col min="36" max="38" width="3.7109375" style="9" customWidth="1"/>
    <col min="39" max="39" width="18.85546875" style="9" customWidth="1"/>
    <col min="40" max="41" width="21.7109375" style="9" customWidth="1"/>
    <col min="42" max="42" width="11.7109375" style="9" customWidth="1"/>
    <col min="43" max="43" width="3.7109375" style="9" customWidth="1"/>
    <col min="44" max="44" width="11.7109375" style="9" customWidth="1"/>
    <col min="45" max="45" width="8.5703125" style="9" customWidth="1"/>
    <col min="46" max="46" width="4.7109375" style="9" customWidth="1"/>
    <col min="47" max="47" width="115.7109375" style="9" customWidth="1"/>
    <col min="48" max="49" width="10.5703125" style="65"/>
    <col min="50" max="50" width="11.140625" style="65" customWidth="1"/>
    <col min="51" max="52" width="10.5703125" style="65"/>
  </cols>
  <sheetData>
    <row r="1" spans="1:52" ht="14.25" hidden="1" customHeight="1"/>
    <row r="2" spans="1:52" ht="21" hidden="1" customHeight="1">
      <c r="A2" s="793"/>
      <c r="B2" s="793"/>
      <c r="C2" s="793"/>
      <c r="D2" s="793"/>
      <c r="E2" s="1287">
        <v>1</v>
      </c>
      <c r="F2" s="793"/>
      <c r="G2" s="793"/>
      <c r="H2" s="793"/>
      <c r="I2" s="793"/>
      <c r="J2" s="793"/>
      <c r="K2" s="793"/>
      <c r="L2" s="794"/>
      <c r="M2" s="433"/>
      <c r="N2" s="433"/>
      <c r="O2" s="433"/>
      <c r="Q2" s="59"/>
      <c r="R2" s="213"/>
      <c r="S2" s="725" t="e">
        <f>INDEX(PT_DIFFERENTIATION_NUM_NTAR,MATCH(A2,PT_DIFFERENTIATION_NTAR_ID,0))</f>
        <v>#N/A</v>
      </c>
      <c r="T2" s="64" t="s">
        <v>139</v>
      </c>
      <c r="U2" s="170"/>
      <c r="V2" s="1282"/>
      <c r="W2" s="1282"/>
      <c r="X2" s="1282"/>
      <c r="Y2" s="1282"/>
      <c r="Z2" s="1282"/>
      <c r="AA2" s="1283"/>
      <c r="AB2" s="1281" t="e">
        <f>INDEX(PT_DIFFERENTIATION_NTAR,MATCH(A2,PT_DIFFERENTIATION_NTAR_ID,0))</f>
        <v>#N/A</v>
      </c>
      <c r="AC2" s="1282"/>
      <c r="AD2" s="1282"/>
      <c r="AE2" s="1282"/>
      <c r="AF2" s="1282"/>
      <c r="AG2" s="1282"/>
      <c r="AH2" s="1282"/>
      <c r="AI2" s="1282"/>
      <c r="AJ2" s="1282"/>
      <c r="AK2" s="1282"/>
      <c r="AL2" s="1282"/>
      <c r="AM2" s="1282"/>
      <c r="AN2" s="1282"/>
      <c r="AO2" s="1282"/>
      <c r="AP2" s="1282"/>
      <c r="AQ2" s="1282"/>
      <c r="AR2" s="1282"/>
      <c r="AS2" s="1282"/>
      <c r="AT2" s="1283"/>
      <c r="AU2" s="753" t="s">
        <v>470</v>
      </c>
      <c r="AW2" s="66"/>
      <c r="AX2" s="66" t="str">
        <f t="shared" ref="AX2:AX8" si="0">IF(T2="","",T2)</f>
        <v>Наименование тарифа</v>
      </c>
      <c r="AY2" s="66"/>
      <c r="AZ2" s="66"/>
    </row>
    <row r="3" spans="1:52" ht="21" hidden="1" customHeight="1">
      <c r="A3" s="793"/>
      <c r="B3" s="793"/>
      <c r="C3" s="793"/>
      <c r="D3" s="793"/>
      <c r="E3" s="1288"/>
      <c r="F3" s="1287">
        <v>1</v>
      </c>
      <c r="G3" s="793"/>
      <c r="H3" s="793"/>
      <c r="I3" s="793"/>
      <c r="J3" s="793"/>
      <c r="K3" s="793"/>
      <c r="L3" s="794"/>
      <c r="M3" s="433"/>
      <c r="N3" s="433"/>
      <c r="O3" s="433"/>
      <c r="P3" s="312"/>
      <c r="Q3" s="826"/>
      <c r="R3" s="211"/>
      <c r="S3" s="725" t="e">
        <f>INDEX(PT_DIFFERENTIATION_NUM_TER,MATCH(B3,PT_DIFFERENTIATION_TER_ID,0))</f>
        <v>#N/A</v>
      </c>
      <c r="T3" s="178" t="s">
        <v>471</v>
      </c>
      <c r="U3" s="170"/>
      <c r="V3" s="1282"/>
      <c r="W3" s="1282"/>
      <c r="X3" s="1282"/>
      <c r="Y3" s="1282"/>
      <c r="Z3" s="1282"/>
      <c r="AA3" s="1283"/>
      <c r="AB3" s="1281" t="e">
        <f>INDEX(PT_DIFFERENTIATION_TER,MATCH(B3,PT_DIFFERENTIATION_TER_ID,0))</f>
        <v>#N/A</v>
      </c>
      <c r="AC3" s="1282"/>
      <c r="AD3" s="1282"/>
      <c r="AE3" s="1282"/>
      <c r="AF3" s="1282"/>
      <c r="AG3" s="1282"/>
      <c r="AH3" s="1282"/>
      <c r="AI3" s="1282"/>
      <c r="AJ3" s="1282"/>
      <c r="AK3" s="1282"/>
      <c r="AL3" s="1282"/>
      <c r="AM3" s="1282"/>
      <c r="AN3" s="1282"/>
      <c r="AO3" s="1282"/>
      <c r="AP3" s="1282"/>
      <c r="AQ3" s="1282"/>
      <c r="AR3" s="1282"/>
      <c r="AS3" s="1282"/>
      <c r="AT3" s="1283"/>
      <c r="AU3" s="753" t="s">
        <v>472</v>
      </c>
      <c r="AW3" s="66"/>
      <c r="AX3" s="66" t="str">
        <f t="shared" si="0"/>
        <v>Территория действия тарифа</v>
      </c>
      <c r="AY3" s="66"/>
      <c r="AZ3" s="66"/>
    </row>
    <row r="4" spans="1:52" ht="22.5" hidden="1" customHeight="1">
      <c r="A4" s="793"/>
      <c r="B4" s="793"/>
      <c r="C4" s="793"/>
      <c r="D4" s="793"/>
      <c r="E4" s="1288"/>
      <c r="F4" s="1288"/>
      <c r="G4" s="1287">
        <v>1</v>
      </c>
      <c r="H4" s="793"/>
      <c r="I4" s="793"/>
      <c r="J4" s="793"/>
      <c r="K4" s="793"/>
      <c r="L4" s="794"/>
      <c r="M4" s="433"/>
      <c r="N4" s="433"/>
      <c r="O4" s="433"/>
      <c r="P4" s="128"/>
      <c r="Q4" s="826"/>
      <c r="R4" s="211"/>
      <c r="S4" s="725" t="e">
        <f>INDEX(PT_DIFFERENTIATION_NUM_CS,MATCH(C4,PT_DIFFERENTIATION_CS_ID,0))</f>
        <v>#N/A</v>
      </c>
      <c r="T4" s="179" t="s">
        <v>473</v>
      </c>
      <c r="U4" s="170"/>
      <c r="V4" s="1282"/>
      <c r="W4" s="1282"/>
      <c r="X4" s="1282"/>
      <c r="Y4" s="1282"/>
      <c r="Z4" s="1282"/>
      <c r="AA4" s="1283"/>
      <c r="AB4" s="1281" t="e">
        <f>INDEX(PT_DIFFERENTIATION_CS,MATCH(C4,PT_DIFFERENTIATION_CS_ID,0))</f>
        <v>#N/A</v>
      </c>
      <c r="AC4" s="1282"/>
      <c r="AD4" s="1282"/>
      <c r="AE4" s="1282"/>
      <c r="AF4" s="1282"/>
      <c r="AG4" s="1282"/>
      <c r="AH4" s="1282"/>
      <c r="AI4" s="1282"/>
      <c r="AJ4" s="1282"/>
      <c r="AK4" s="1282"/>
      <c r="AL4" s="1282"/>
      <c r="AM4" s="1282"/>
      <c r="AN4" s="1282"/>
      <c r="AO4" s="1282"/>
      <c r="AP4" s="1282"/>
      <c r="AQ4" s="1282"/>
      <c r="AR4" s="1282"/>
      <c r="AS4" s="1282"/>
      <c r="AT4" s="1283"/>
      <c r="AU4" s="753" t="s">
        <v>474</v>
      </c>
      <c r="AW4" s="66"/>
      <c r="AX4" s="66" t="str">
        <f t="shared" si="0"/>
        <v xml:space="preserve">Наименование системы теплоснабжения </v>
      </c>
      <c r="AY4" s="66"/>
      <c r="AZ4" s="66"/>
    </row>
    <row r="5" spans="1:52" ht="21" hidden="1" customHeight="1">
      <c r="A5" s="793"/>
      <c r="B5" s="793"/>
      <c r="C5" s="793"/>
      <c r="D5" s="793"/>
      <c r="E5" s="1288"/>
      <c r="F5" s="1288"/>
      <c r="G5" s="1288"/>
      <c r="H5" s="1287">
        <v>1</v>
      </c>
      <c r="I5" s="793"/>
      <c r="J5" s="793"/>
      <c r="K5" s="793"/>
      <c r="L5" s="794"/>
      <c r="M5" s="433"/>
      <c r="N5" s="433"/>
      <c r="O5" s="433"/>
      <c r="P5" s="128"/>
      <c r="Q5" s="826"/>
      <c r="R5" s="211"/>
      <c r="S5" s="725" t="e">
        <f>INDEX(PT_DIFFERENTIATION_NUM_IST_TE,MATCH(D5,PT_DIFFERENTIATION_IST_TE_ID,0))</f>
        <v>#N/A</v>
      </c>
      <c r="T5" s="180" t="s">
        <v>475</v>
      </c>
      <c r="U5" s="170"/>
      <c r="V5" s="1282"/>
      <c r="W5" s="1282"/>
      <c r="X5" s="1282"/>
      <c r="Y5" s="1282"/>
      <c r="Z5" s="1282"/>
      <c r="AA5" s="1283"/>
      <c r="AB5" s="1281" t="e">
        <f>INDEX(PT_DIFFERENTIATION_IST_TE,MATCH(D5,PT_DIFFERENTIATION_IST_TE_ID,0))</f>
        <v>#N/A</v>
      </c>
      <c r="AC5" s="1282"/>
      <c r="AD5" s="1282"/>
      <c r="AE5" s="1282"/>
      <c r="AF5" s="1282"/>
      <c r="AG5" s="1282"/>
      <c r="AH5" s="1282"/>
      <c r="AI5" s="1282"/>
      <c r="AJ5" s="1282"/>
      <c r="AK5" s="1282"/>
      <c r="AL5" s="1282"/>
      <c r="AM5" s="1282"/>
      <c r="AN5" s="1282"/>
      <c r="AO5" s="1282"/>
      <c r="AP5" s="1282"/>
      <c r="AQ5" s="1282"/>
      <c r="AR5" s="1282"/>
      <c r="AS5" s="1282"/>
      <c r="AT5" s="1283"/>
      <c r="AU5" s="753" t="s">
        <v>476</v>
      </c>
      <c r="AW5" s="66"/>
      <c r="AX5" s="66" t="str">
        <f t="shared" si="0"/>
        <v xml:space="preserve">Источник тепловой энергии  </v>
      </c>
      <c r="AY5" s="66"/>
      <c r="AZ5" s="66"/>
    </row>
    <row r="6" spans="1:52" s="65" customFormat="1" ht="14.25" hidden="1" customHeight="1">
      <c r="A6" s="142"/>
      <c r="B6" s="142"/>
      <c r="C6" s="142"/>
      <c r="D6" s="142"/>
      <c r="E6" s="1288"/>
      <c r="F6" s="1288"/>
      <c r="G6" s="1288"/>
      <c r="H6" s="1288"/>
      <c r="I6" s="1289" t="e">
        <f>S5&amp;".1"</f>
        <v>#N/A</v>
      </c>
      <c r="J6" s="142"/>
      <c r="K6" s="142"/>
      <c r="L6" s="355" t="s">
        <v>477</v>
      </c>
      <c r="M6" s="228"/>
      <c r="N6" s="228"/>
      <c r="O6" s="228"/>
      <c r="P6" s="1211">
        <v>1</v>
      </c>
      <c r="Q6" s="119"/>
      <c r="R6" s="214"/>
      <c r="S6" s="371"/>
      <c r="T6" s="803"/>
      <c r="U6" s="804"/>
      <c r="V6" s="1317"/>
      <c r="W6" s="1317"/>
      <c r="X6" s="1317"/>
      <c r="Y6" s="1317"/>
      <c r="Z6" s="1317"/>
      <c r="AA6" s="1318"/>
      <c r="AB6" s="1316"/>
      <c r="AC6" s="1317"/>
      <c r="AD6" s="1317"/>
      <c r="AE6" s="1317"/>
      <c r="AF6" s="1317"/>
      <c r="AG6" s="1317"/>
      <c r="AH6" s="1317"/>
      <c r="AI6" s="1317"/>
      <c r="AJ6" s="1317"/>
      <c r="AK6" s="1317"/>
      <c r="AL6" s="1317"/>
      <c r="AM6" s="1317"/>
      <c r="AN6" s="1317"/>
      <c r="AO6" s="1317"/>
      <c r="AP6" s="1317"/>
      <c r="AQ6" s="1317"/>
      <c r="AR6" s="1317"/>
      <c r="AS6" s="1317"/>
      <c r="AT6" s="1318"/>
      <c r="AU6" s="805"/>
      <c r="AW6" s="66"/>
      <c r="AX6" s="66" t="str">
        <f t="shared" si="0"/>
        <v/>
      </c>
      <c r="AY6" s="66"/>
      <c r="AZ6" s="66"/>
    </row>
    <row r="7" spans="1:52" s="65" customFormat="1" ht="14.25" hidden="1" customHeight="1">
      <c r="A7" s="142"/>
      <c r="B7" s="142"/>
      <c r="C7" s="142"/>
      <c r="D7" s="142"/>
      <c r="E7" s="1288"/>
      <c r="F7" s="1288"/>
      <c r="G7" s="1288"/>
      <c r="H7" s="1288"/>
      <c r="I7" s="1290"/>
      <c r="J7" s="1289" t="e">
        <f>S5&amp;".1"</f>
        <v>#N/A</v>
      </c>
      <c r="K7" s="142"/>
      <c r="L7" s="355"/>
      <c r="M7" s="228"/>
      <c r="N7" s="228"/>
      <c r="O7" s="228"/>
      <c r="P7" s="1211"/>
      <c r="Q7" s="1211">
        <v>1</v>
      </c>
      <c r="R7" s="215"/>
      <c r="S7" s="371"/>
      <c r="T7" s="818"/>
      <c r="U7" s="804"/>
      <c r="V7" s="1317"/>
      <c r="W7" s="1317"/>
      <c r="X7" s="1317"/>
      <c r="Y7" s="1317"/>
      <c r="Z7" s="1317"/>
      <c r="AA7" s="1318"/>
      <c r="AB7" s="1316"/>
      <c r="AC7" s="1317"/>
      <c r="AD7" s="1317"/>
      <c r="AE7" s="1317"/>
      <c r="AF7" s="1317"/>
      <c r="AG7" s="1317"/>
      <c r="AH7" s="1317"/>
      <c r="AI7" s="1317"/>
      <c r="AJ7" s="1317"/>
      <c r="AK7" s="1317"/>
      <c r="AL7" s="1317"/>
      <c r="AM7" s="1317"/>
      <c r="AN7" s="1317"/>
      <c r="AO7" s="1317"/>
      <c r="AP7" s="1317"/>
      <c r="AQ7" s="1317"/>
      <c r="AR7" s="1317"/>
      <c r="AS7" s="1317"/>
      <c r="AT7" s="1318"/>
      <c r="AU7" s="805"/>
      <c r="AW7" s="66"/>
      <c r="AX7" s="66" t="str">
        <f t="shared" si="0"/>
        <v/>
      </c>
      <c r="AY7" s="66"/>
      <c r="AZ7" s="66"/>
    </row>
    <row r="8" spans="1:52" ht="21" hidden="1" customHeight="1">
      <c r="A8" s="793"/>
      <c r="B8" s="793"/>
      <c r="C8" s="793"/>
      <c r="D8" s="793"/>
      <c r="E8" s="1288"/>
      <c r="F8" s="1288"/>
      <c r="G8" s="1288"/>
      <c r="H8" s="1288"/>
      <c r="I8" s="1290"/>
      <c r="J8" s="1290"/>
      <c r="K8" s="1289" t="e">
        <f>S5&amp;".1"</f>
        <v>#N/A</v>
      </c>
      <c r="L8" s="794"/>
      <c r="P8" s="1211"/>
      <c r="Q8" s="1211"/>
      <c r="R8" s="1340">
        <v>1</v>
      </c>
      <c r="S8" s="1337" t="e">
        <f>$K8</f>
        <v>#N/A</v>
      </c>
      <c r="T8" s="1334"/>
      <c r="U8" s="170"/>
      <c r="V8" s="317"/>
      <c r="W8" s="752"/>
      <c r="X8" s="1291"/>
      <c r="Y8" s="1092" t="s">
        <v>59</v>
      </c>
      <c r="Z8" s="1291"/>
      <c r="AA8" s="1092" t="s">
        <v>59</v>
      </c>
      <c r="AB8" s="1092" t="s">
        <v>57</v>
      </c>
      <c r="AC8" s="1333"/>
      <c r="AD8" s="1171">
        <v>1</v>
      </c>
      <c r="AE8" s="1346"/>
      <c r="AF8" s="1092" t="s">
        <v>57</v>
      </c>
      <c r="AG8" s="1333"/>
      <c r="AH8" s="1171">
        <v>1</v>
      </c>
      <c r="AI8" s="1346"/>
      <c r="AJ8" s="1092" t="s">
        <v>57</v>
      </c>
      <c r="AK8" s="181"/>
      <c r="AL8" s="280">
        <v>1</v>
      </c>
      <c r="AM8" s="633"/>
      <c r="AN8" s="317"/>
      <c r="AO8" s="752"/>
      <c r="AP8" s="974"/>
      <c r="AQ8" s="308" t="s">
        <v>59</v>
      </c>
      <c r="AR8" s="974"/>
      <c r="AS8" s="308" t="s">
        <v>59</v>
      </c>
      <c r="AT8" s="790"/>
      <c r="AU8" s="1309" t="s">
        <v>547</v>
      </c>
      <c r="AV8" s="65" t="e">
        <f ca="1">STRCHECKDATE(V11:AT11)</f>
        <v>#NAME?</v>
      </c>
      <c r="AW8" s="66"/>
      <c r="AX8" s="66" t="str">
        <f t="shared" si="0"/>
        <v/>
      </c>
      <c r="AY8" s="66"/>
      <c r="AZ8" s="66"/>
    </row>
    <row r="9" spans="1:52" ht="11.25" hidden="1" customHeight="1">
      <c r="A9" s="793"/>
      <c r="B9" s="793"/>
      <c r="C9" s="793"/>
      <c r="D9" s="793"/>
      <c r="E9" s="1288"/>
      <c r="F9" s="1288"/>
      <c r="G9" s="1288"/>
      <c r="H9" s="1288"/>
      <c r="I9" s="1290"/>
      <c r="J9" s="1290"/>
      <c r="K9" s="1289"/>
      <c r="L9" s="794"/>
      <c r="P9" s="1211"/>
      <c r="Q9" s="1211"/>
      <c r="R9" s="1340"/>
      <c r="S9" s="1338"/>
      <c r="T9" s="1335"/>
      <c r="U9" s="170"/>
      <c r="V9" s="813"/>
      <c r="W9" s="817"/>
      <c r="X9" s="1291"/>
      <c r="Y9" s="1092"/>
      <c r="Z9" s="1291"/>
      <c r="AA9" s="1092"/>
      <c r="AB9" s="1092"/>
      <c r="AC9" s="1333"/>
      <c r="AD9" s="1171"/>
      <c r="AE9" s="1346"/>
      <c r="AF9" s="1092"/>
      <c r="AG9" s="1333"/>
      <c r="AH9" s="1171"/>
      <c r="AI9" s="1346"/>
      <c r="AJ9" s="1092"/>
      <c r="AK9" s="186"/>
      <c r="AL9" s="50"/>
      <c r="AM9" s="107" t="s">
        <v>548</v>
      </c>
      <c r="AN9" s="813"/>
      <c r="AO9" s="843"/>
      <c r="AP9" s="813"/>
      <c r="AQ9" s="813"/>
      <c r="AR9" s="813"/>
      <c r="AS9" s="813"/>
      <c r="AT9" s="810"/>
      <c r="AU9" s="1310"/>
      <c r="AW9" s="66"/>
      <c r="AX9" s="66"/>
      <c r="AY9" s="66"/>
      <c r="AZ9" s="66"/>
    </row>
    <row r="10" spans="1:52" ht="11.25" hidden="1" customHeight="1">
      <c r="A10" s="793"/>
      <c r="B10" s="793"/>
      <c r="C10" s="793"/>
      <c r="D10" s="793"/>
      <c r="E10" s="1288"/>
      <c r="F10" s="1288"/>
      <c r="G10" s="1288"/>
      <c r="H10" s="1288"/>
      <c r="I10" s="1290"/>
      <c r="J10" s="1290"/>
      <c r="K10" s="1289"/>
      <c r="L10" s="794"/>
      <c r="P10" s="1211"/>
      <c r="Q10" s="1211"/>
      <c r="R10" s="1340"/>
      <c r="S10" s="1338"/>
      <c r="T10" s="1335"/>
      <c r="U10" s="170"/>
      <c r="V10" s="813"/>
      <c r="W10" s="817"/>
      <c r="X10" s="1291"/>
      <c r="Y10" s="1092"/>
      <c r="Z10" s="1291"/>
      <c r="AA10" s="1092"/>
      <c r="AB10" s="1092"/>
      <c r="AC10" s="1333"/>
      <c r="AD10" s="1171"/>
      <c r="AE10" s="1346"/>
      <c r="AF10" s="1092"/>
      <c r="AG10" s="168"/>
      <c r="AH10" s="107"/>
      <c r="AI10" s="107" t="s">
        <v>549</v>
      </c>
      <c r="AJ10" s="813"/>
      <c r="AK10" s="813"/>
      <c r="AL10" s="813"/>
      <c r="AM10" s="813"/>
      <c r="AN10" s="813"/>
      <c r="AO10" s="843"/>
      <c r="AP10" s="813"/>
      <c r="AQ10" s="813"/>
      <c r="AR10" s="813"/>
      <c r="AS10" s="813"/>
      <c r="AT10" s="810"/>
      <c r="AU10" s="1310"/>
      <c r="AW10" s="66"/>
      <c r="AX10" s="66"/>
      <c r="AY10" s="66"/>
      <c r="AZ10" s="66"/>
    </row>
    <row r="11" spans="1:52" ht="11.25" hidden="1" customHeight="1">
      <c r="A11" s="793"/>
      <c r="B11" s="793"/>
      <c r="C11" s="793"/>
      <c r="D11" s="793"/>
      <c r="E11" s="1288"/>
      <c r="F11" s="1288"/>
      <c r="G11" s="1288"/>
      <c r="H11" s="1288"/>
      <c r="I11" s="1290"/>
      <c r="J11" s="1290"/>
      <c r="K11" s="1289"/>
      <c r="L11" s="794"/>
      <c r="P11" s="1211"/>
      <c r="Q11" s="1211"/>
      <c r="R11" s="1340"/>
      <c r="S11" s="1339"/>
      <c r="T11" s="1336"/>
      <c r="U11" s="170"/>
      <c r="V11" s="813"/>
      <c r="W11" s="816" t="str">
        <f>X8&amp;"-"&amp;Z8</f>
        <v>-</v>
      </c>
      <c r="X11" s="1292"/>
      <c r="Y11" s="1092"/>
      <c r="Z11" s="1292"/>
      <c r="AA11" s="1092"/>
      <c r="AB11" s="1092"/>
      <c r="AC11" s="182"/>
      <c r="AD11" s="184"/>
      <c r="AE11" s="107" t="s">
        <v>550</v>
      </c>
      <c r="AF11" s="813"/>
      <c r="AG11" s="813"/>
      <c r="AH11" s="813"/>
      <c r="AI11" s="813"/>
      <c r="AJ11" s="813"/>
      <c r="AK11" s="813"/>
      <c r="AL11" s="813"/>
      <c r="AM11" s="813"/>
      <c r="AN11" s="813"/>
      <c r="AO11" s="814" t="str">
        <f>AP8&amp;"-"&amp;AR8</f>
        <v>-</v>
      </c>
      <c r="AP11" s="813"/>
      <c r="AQ11" s="813"/>
      <c r="AR11" s="813"/>
      <c r="AS11" s="813"/>
      <c r="AT11" s="791"/>
      <c r="AU11" s="1310"/>
      <c r="AW11" s="66"/>
      <c r="AX11" s="66" t="str">
        <f t="shared" ref="AX11:AX17" si="1">IF(T11="","",T11)</f>
        <v/>
      </c>
      <c r="AY11" s="66"/>
      <c r="AZ11" s="66"/>
    </row>
    <row r="12" spans="1:52" ht="11.25" hidden="1" customHeight="1">
      <c r="A12" s="793"/>
      <c r="B12" s="793"/>
      <c r="C12" s="793"/>
      <c r="D12" s="793"/>
      <c r="E12" s="1288"/>
      <c r="F12" s="1288"/>
      <c r="G12" s="1288"/>
      <c r="H12" s="1288"/>
      <c r="I12" s="1290"/>
      <c r="J12" s="1289"/>
      <c r="K12" s="793"/>
      <c r="L12" s="794"/>
      <c r="P12" s="1211"/>
      <c r="Q12" s="1211"/>
      <c r="R12" s="214"/>
      <c r="S12" s="767"/>
      <c r="T12" s="165" t="s">
        <v>551</v>
      </c>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195"/>
      <c r="AU12" s="1311"/>
      <c r="AW12" s="66"/>
      <c r="AX12" s="66" t="str">
        <f t="shared" si="1"/>
        <v>Добавить строку</v>
      </c>
      <c r="AY12" s="66"/>
      <c r="AZ12" s="66"/>
    </row>
    <row r="13" spans="1:52" s="65" customFormat="1" ht="14.25" hidden="1" customHeight="1">
      <c r="A13" s="142"/>
      <c r="B13" s="142"/>
      <c r="C13" s="142"/>
      <c r="D13" s="142"/>
      <c r="E13" s="1288"/>
      <c r="F13" s="1288"/>
      <c r="G13" s="1288"/>
      <c r="H13" s="1288"/>
      <c r="I13" s="1289"/>
      <c r="J13" s="142"/>
      <c r="K13" s="142"/>
      <c r="L13" s="355"/>
      <c r="M13" s="228"/>
      <c r="N13" s="228"/>
      <c r="O13" s="228"/>
      <c r="P13" s="1211"/>
      <c r="Q13" s="119"/>
      <c r="R13" s="214"/>
      <c r="S13" s="806"/>
      <c r="T13" s="807"/>
      <c r="U13" s="808"/>
      <c r="V13" s="808"/>
      <c r="W13" s="808"/>
      <c r="X13" s="808"/>
      <c r="Y13" s="808"/>
      <c r="Z13" s="808"/>
      <c r="AA13" s="808"/>
      <c r="AB13" s="808"/>
      <c r="AC13" s="808"/>
      <c r="AD13" s="808"/>
      <c r="AE13" s="808"/>
      <c r="AF13" s="808"/>
      <c r="AG13" s="808"/>
      <c r="AH13" s="808"/>
      <c r="AI13" s="808"/>
      <c r="AJ13" s="808"/>
      <c r="AK13" s="808"/>
      <c r="AL13" s="808"/>
      <c r="AM13" s="808"/>
      <c r="AN13" s="808"/>
      <c r="AO13" s="808"/>
      <c r="AP13" s="808"/>
      <c r="AQ13" s="808"/>
      <c r="AR13" s="808"/>
      <c r="AS13" s="808"/>
      <c r="AT13" s="808"/>
      <c r="AU13" s="809"/>
      <c r="AW13" s="66"/>
      <c r="AX13" s="66" t="str">
        <f t="shared" si="1"/>
        <v/>
      </c>
      <c r="AY13" s="66"/>
      <c r="AZ13" s="66"/>
    </row>
    <row r="14" spans="1:52" s="65" customFormat="1" ht="14.25" hidden="1" customHeight="1">
      <c r="A14" s="142"/>
      <c r="B14" s="142"/>
      <c r="C14" s="142"/>
      <c r="D14" s="142"/>
      <c r="E14" s="1288"/>
      <c r="F14" s="1288"/>
      <c r="G14" s="1288"/>
      <c r="H14" s="1287"/>
      <c r="I14" s="142"/>
      <c r="J14" s="142"/>
      <c r="K14" s="142"/>
      <c r="L14" s="355"/>
      <c r="M14" s="304"/>
      <c r="N14" s="304"/>
      <c r="P14" s="101"/>
      <c r="Q14" s="780"/>
      <c r="R14" s="820"/>
      <c r="S14" s="806"/>
      <c r="T14" s="807"/>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9"/>
      <c r="AW14" s="66"/>
      <c r="AX14" s="66" t="str">
        <f t="shared" si="1"/>
        <v/>
      </c>
      <c r="AY14" s="66"/>
      <c r="AZ14" s="66"/>
    </row>
    <row r="15" spans="1:52" s="65" customFormat="1" ht="14.25" hidden="1" customHeight="1">
      <c r="A15" s="142"/>
      <c r="B15" s="142"/>
      <c r="C15" s="142"/>
      <c r="D15" s="142"/>
      <c r="E15" s="1288"/>
      <c r="F15" s="1288"/>
      <c r="G15" s="1287"/>
      <c r="H15" s="142"/>
      <c r="I15" s="142"/>
      <c r="J15" s="142"/>
      <c r="K15" s="142"/>
      <c r="L15" s="355"/>
      <c r="M15" s="304"/>
      <c r="N15" s="304"/>
      <c r="P15" s="101"/>
      <c r="Q15" s="780"/>
      <c r="R15" s="101"/>
      <c r="S15" s="785"/>
      <c r="T15" s="787" t="s">
        <v>444</v>
      </c>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W15" s="66"/>
      <c r="AX15" s="66" t="str">
        <f t="shared" si="1"/>
        <v>Добавить источник для дифференциации</v>
      </c>
      <c r="AY15" s="66"/>
      <c r="AZ15" s="66"/>
    </row>
    <row r="16" spans="1:52" s="65" customFormat="1" ht="14.25" hidden="1" customHeight="1">
      <c r="A16" s="142"/>
      <c r="B16" s="142"/>
      <c r="C16" s="142"/>
      <c r="D16" s="142"/>
      <c r="E16" s="1288"/>
      <c r="F16" s="1287"/>
      <c r="G16" s="142"/>
      <c r="H16" s="142"/>
      <c r="I16" s="142"/>
      <c r="J16" s="142"/>
      <c r="K16" s="142"/>
      <c r="L16" s="355"/>
      <c r="M16" s="784"/>
      <c r="N16" s="784"/>
      <c r="P16" s="101"/>
      <c r="Q16" s="780"/>
      <c r="R16" s="101"/>
      <c r="S16" s="785"/>
      <c r="T16" s="787" t="s">
        <v>445</v>
      </c>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W16" s="66"/>
      <c r="AX16" s="66" t="str">
        <f t="shared" si="1"/>
        <v>Добавить централизованную систему для дифференциации</v>
      </c>
      <c r="AY16" s="66"/>
      <c r="AZ16" s="66"/>
    </row>
    <row r="17" spans="1:52" s="65" customFormat="1" ht="14.25" hidden="1" customHeight="1">
      <c r="A17" s="142"/>
      <c r="B17" s="142"/>
      <c r="C17" s="142"/>
      <c r="D17" s="142"/>
      <c r="E17" s="1287"/>
      <c r="F17" s="142"/>
      <c r="G17" s="142"/>
      <c r="H17" s="142"/>
      <c r="I17" s="142"/>
      <c r="J17" s="142"/>
      <c r="K17" s="142"/>
      <c r="L17" s="355"/>
      <c r="M17" s="784"/>
      <c r="N17" s="784"/>
      <c r="P17" s="101"/>
      <c r="Q17" s="780"/>
      <c r="R17" s="101"/>
      <c r="S17" s="785"/>
      <c r="T17" s="787" t="s">
        <v>446</v>
      </c>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W17" s="66"/>
      <c r="AX17" s="66" t="str">
        <f t="shared" si="1"/>
        <v>Добавить территорию для дифференциации</v>
      </c>
      <c r="AY17" s="66"/>
      <c r="AZ17" s="66"/>
    </row>
    <row r="18" spans="1:52" ht="14.25" hidden="1" customHeight="1"/>
    <row r="19" spans="1:52" ht="14.25" hidden="1" customHeight="1">
      <c r="AB19" s="323" t="s">
        <v>57</v>
      </c>
      <c r="AC19" s="848"/>
      <c r="AD19" s="323">
        <v>1</v>
      </c>
      <c r="AE19" s="849"/>
      <c r="AF19" s="323" t="s">
        <v>57</v>
      </c>
      <c r="AG19" s="848"/>
      <c r="AH19" s="323">
        <v>1</v>
      </c>
      <c r="AI19" s="849"/>
      <c r="AJ19" s="323" t="s">
        <v>57</v>
      </c>
      <c r="AK19" s="850"/>
      <c r="AL19" s="323">
        <v>1</v>
      </c>
      <c r="AM19" s="852"/>
      <c r="AN19" s="626"/>
      <c r="AO19" s="821"/>
      <c r="AP19" s="976"/>
      <c r="AQ19" s="840" t="s">
        <v>59</v>
      </c>
      <c r="AR19" s="976"/>
      <c r="AS19" s="840" t="s">
        <v>59</v>
      </c>
    </row>
    <row r="20" spans="1:52" ht="14.25" hidden="1" customHeight="1">
      <c r="AV20" s="209"/>
      <c r="AW20" s="209"/>
      <c r="AX20" s="209"/>
      <c r="AY20" s="209"/>
      <c r="AZ20" s="209"/>
    </row>
    <row r="21" spans="1:52" ht="14.25" hidden="1" customHeight="1">
      <c r="O21" s="795" t="s">
        <v>488</v>
      </c>
      <c r="X21" s="185"/>
      <c r="Z21" s="185"/>
      <c r="AP21" s="185"/>
      <c r="AR21" s="185"/>
      <c r="AV21" s="209"/>
      <c r="AW21" s="209"/>
      <c r="AX21" s="209"/>
      <c r="AY21" s="209"/>
      <c r="AZ21" s="209"/>
    </row>
    <row r="22" spans="1:52" ht="14.25" hidden="1" customHeight="1">
      <c r="AV22" s="209"/>
      <c r="AW22" s="209"/>
      <c r="AX22" s="209"/>
      <c r="AY22" s="209"/>
      <c r="AZ22" s="209"/>
    </row>
    <row r="23" spans="1:52" s="853" customFormat="1" ht="14.25" hidden="1" customHeight="1">
      <c r="M23" s="854"/>
      <c r="N23" s="854"/>
      <c r="O23" s="853" t="s">
        <v>489</v>
      </c>
      <c r="P23" s="854"/>
      <c r="Q23" s="855"/>
      <c r="R23" s="855"/>
      <c r="Y23" s="853" t="s">
        <v>491</v>
      </c>
      <c r="AA23" s="853" t="s">
        <v>492</v>
      </c>
      <c r="AB23" s="853" t="s">
        <v>552</v>
      </c>
      <c r="AE23" s="853" t="s">
        <v>553</v>
      </c>
      <c r="AF23" s="853" t="s">
        <v>552</v>
      </c>
      <c r="AI23" s="853" t="s">
        <v>554</v>
      </c>
      <c r="AJ23" s="853" t="s">
        <v>552</v>
      </c>
      <c r="AM23" s="853" t="s">
        <v>555</v>
      </c>
      <c r="AQ23" s="853" t="s">
        <v>491</v>
      </c>
      <c r="AS23" s="853" t="s">
        <v>492</v>
      </c>
      <c r="AV23" s="856"/>
      <c r="AW23" s="856"/>
      <c r="AX23" s="856"/>
      <c r="AY23" s="856"/>
      <c r="AZ23" s="856"/>
    </row>
    <row r="24" spans="1:52" ht="14.25" hidden="1" customHeight="1">
      <c r="O24" s="794"/>
      <c r="AV24" s="209"/>
      <c r="AW24" s="209"/>
      <c r="AX24" s="209"/>
      <c r="AY24" s="209"/>
      <c r="AZ24" s="209"/>
    </row>
    <row r="25" spans="1:52" ht="14.25" hidden="1" customHeight="1">
      <c r="O25" s="794"/>
      <c r="AV25" s="209"/>
      <c r="AW25" s="209"/>
      <c r="AX25" s="209"/>
      <c r="AY25" s="209"/>
      <c r="AZ25" s="209"/>
    </row>
    <row r="26" spans="1:52" ht="14.25" customHeight="1">
      <c r="Q26" s="167"/>
      <c r="R26" s="27"/>
      <c r="S26" s="764"/>
      <c r="T26" s="8"/>
      <c r="U26" s="8"/>
    </row>
    <row r="27" spans="1:52" ht="33.75" customHeight="1">
      <c r="Q27" s="167"/>
      <c r="R27" s="27"/>
      <c r="S27" s="1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312"/>
      <c r="U27" s="1312"/>
      <c r="V27" s="1312"/>
      <c r="W27" s="1312"/>
      <c r="X27" s="1312"/>
      <c r="Y27" s="1312"/>
      <c r="Z27" s="1312"/>
      <c r="AA27" s="1312"/>
      <c r="AB27" s="1312"/>
      <c r="AC27" s="1312"/>
      <c r="AD27" s="1312"/>
      <c r="AE27" s="1312"/>
      <c r="AF27" s="1312"/>
      <c r="AG27" s="1312"/>
      <c r="AH27" s="1312"/>
      <c r="AI27" s="1312"/>
      <c r="AJ27" s="1312"/>
      <c r="AK27" s="1312"/>
      <c r="AL27" s="1312"/>
      <c r="AM27" s="1312"/>
      <c r="AN27" s="1312"/>
      <c r="AO27" s="1312"/>
      <c r="AP27" s="1312"/>
      <c r="AQ27" s="1312"/>
      <c r="AR27" s="1312"/>
      <c r="AS27" s="57"/>
    </row>
    <row r="28" spans="1:52" ht="14.25" customHeight="1">
      <c r="Q28" s="167"/>
      <c r="R28" s="27"/>
      <c r="S28" s="1178" t="str">
        <f>IF(org=0,"Не определено",org)</f>
        <v>ООО "Концессионная Коммунальная Компания"</v>
      </c>
      <c r="T28" s="1178"/>
      <c r="U28" s="1178"/>
      <c r="V28" s="1178"/>
      <c r="W28" s="1178"/>
      <c r="X28" s="1178"/>
      <c r="Y28" s="1178"/>
      <c r="Z28" s="1178"/>
      <c r="AA28" s="1178"/>
      <c r="AB28" s="1178"/>
      <c r="AC28" s="1178"/>
      <c r="AD28" s="1178"/>
      <c r="AE28" s="1178"/>
      <c r="AF28" s="1178"/>
      <c r="AG28" s="1178"/>
      <c r="AH28" s="1178"/>
      <c r="AI28" s="1178"/>
      <c r="AJ28" s="1178"/>
      <c r="AK28" s="1178"/>
      <c r="AL28" s="1178"/>
      <c r="AM28" s="1178"/>
      <c r="AN28" s="1178"/>
      <c r="AO28" s="1178"/>
      <c r="AP28" s="1178"/>
      <c r="AQ28" s="1178"/>
      <c r="AR28" s="1178"/>
      <c r="AS28" s="57"/>
    </row>
    <row r="29" spans="1:52" ht="14.25" hidden="1" customHeight="1">
      <c r="Q29" s="167"/>
      <c r="R29" s="27"/>
      <c r="S29" s="764"/>
      <c r="T29" s="8"/>
      <c r="U29" s="8"/>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row>
    <row r="30" spans="1:52" s="33" customFormat="1" ht="25.5" hidden="1" customHeight="1">
      <c r="A30" s="79"/>
      <c r="B30" s="79"/>
      <c r="C30" s="79"/>
      <c r="D30" s="79"/>
      <c r="E30" s="79"/>
      <c r="F30" s="79"/>
      <c r="G30" s="79"/>
      <c r="H30" s="79"/>
      <c r="I30" s="79"/>
      <c r="J30" s="79"/>
      <c r="K30" s="79"/>
      <c r="L30" s="794"/>
      <c r="M30" s="79"/>
      <c r="N30" s="79"/>
      <c r="O30" s="79"/>
      <c r="P30" s="79"/>
      <c r="Q30" s="79"/>
      <c r="S30" s="1278" t="s">
        <v>40</v>
      </c>
      <c r="T30" s="1278"/>
      <c r="U30" s="797"/>
      <c r="V30" s="1280"/>
      <c r="W30" s="1280"/>
      <c r="X30" s="1280"/>
      <c r="Y30" s="1280"/>
      <c r="Z30" s="1280"/>
      <c r="AA30" s="9"/>
      <c r="AB30" s="1280" t="str">
        <f>IF(TITLE_NAME_OR_PR_CHANGE="",IF(TITLE_NAME_OR_PR="","",TITLE_NAME_OR_PR),TITLE_NAME_OR_PR_CHANGE)</f>
        <v/>
      </c>
      <c r="AC30" s="1280"/>
      <c r="AD30" s="1280"/>
      <c r="AE30" s="1280"/>
      <c r="AF30" s="1280"/>
      <c r="AG30" s="1280"/>
      <c r="AH30" s="1280"/>
      <c r="AI30" s="1280"/>
      <c r="AJ30" s="1280"/>
      <c r="AK30" s="1280"/>
      <c r="AL30" s="1280"/>
      <c r="AM30" s="1280"/>
      <c r="AN30" s="1280"/>
      <c r="AO30" s="1280"/>
      <c r="AP30" s="1280"/>
      <c r="AQ30" s="1280"/>
      <c r="AR30" s="1280"/>
      <c r="AS30" s="9"/>
      <c r="AT30" s="9"/>
      <c r="AU30" s="162"/>
      <c r="AV30" s="66"/>
      <c r="AW30" s="66"/>
      <c r="AX30" s="66"/>
      <c r="AY30" s="66"/>
      <c r="AZ30" s="66"/>
    </row>
    <row r="31" spans="1:52" s="33" customFormat="1" ht="18.75" hidden="1" customHeight="1">
      <c r="A31" s="79"/>
      <c r="B31" s="79"/>
      <c r="C31" s="79"/>
      <c r="D31" s="79"/>
      <c r="E31" s="79"/>
      <c r="F31" s="79"/>
      <c r="G31" s="79"/>
      <c r="H31" s="79"/>
      <c r="I31" s="79"/>
      <c r="J31" s="79"/>
      <c r="K31" s="79"/>
      <c r="L31" s="794"/>
      <c r="M31" s="79"/>
      <c r="N31" s="79"/>
      <c r="O31" s="79"/>
      <c r="P31" s="79"/>
      <c r="Q31" s="79"/>
      <c r="S31" s="1278" t="s">
        <v>494</v>
      </c>
      <c r="T31" s="1278"/>
      <c r="U31" s="797"/>
      <c r="V31" s="1279"/>
      <c r="W31" s="1279"/>
      <c r="X31" s="1279"/>
      <c r="Y31" s="1279"/>
      <c r="Z31" s="1279"/>
      <c r="AA31" s="9"/>
      <c r="AB31" s="1279" t="str">
        <f>IF(TITLE_DATE_CHANGE_PERIOD="",IF(TITLE_DATE_PR="","",TITLE_DATE_PR),TITLE_DATE_CHANGE_PERIOD)</f>
        <v/>
      </c>
      <c r="AC31" s="1279"/>
      <c r="AD31" s="1279"/>
      <c r="AE31" s="1279"/>
      <c r="AF31" s="1279"/>
      <c r="AG31" s="1279"/>
      <c r="AH31" s="1279"/>
      <c r="AI31" s="1279"/>
      <c r="AJ31" s="1279"/>
      <c r="AK31" s="1279"/>
      <c r="AL31" s="1279"/>
      <c r="AM31" s="1279"/>
      <c r="AN31" s="1279"/>
      <c r="AO31" s="1279"/>
      <c r="AP31" s="1279"/>
      <c r="AQ31" s="1279"/>
      <c r="AR31" s="1279"/>
      <c r="AS31" s="9"/>
      <c r="AT31" s="9"/>
      <c r="AU31" s="162"/>
      <c r="AV31" s="66"/>
      <c r="AW31" s="66"/>
      <c r="AX31" s="66"/>
      <c r="AY31" s="66"/>
      <c r="AZ31" s="66"/>
    </row>
    <row r="32" spans="1:52" s="33" customFormat="1" ht="18.75" hidden="1" customHeight="1">
      <c r="A32" s="79"/>
      <c r="B32" s="79"/>
      <c r="C32" s="79"/>
      <c r="D32" s="79"/>
      <c r="E32" s="79"/>
      <c r="F32" s="79"/>
      <c r="G32" s="79"/>
      <c r="H32" s="79"/>
      <c r="I32" s="79"/>
      <c r="J32" s="79"/>
      <c r="K32" s="79"/>
      <c r="L32" s="794"/>
      <c r="M32" s="79"/>
      <c r="N32" s="79"/>
      <c r="O32" s="79"/>
      <c r="P32" s="79"/>
      <c r="Q32" s="79"/>
      <c r="S32" s="1278" t="s">
        <v>495</v>
      </c>
      <c r="T32" s="1278"/>
      <c r="U32" s="797"/>
      <c r="V32" s="1280"/>
      <c r="W32" s="1280"/>
      <c r="X32" s="1280"/>
      <c r="Y32" s="1280"/>
      <c r="Z32" s="1280"/>
      <c r="AA32" s="9"/>
      <c r="AB32" s="1280" t="str">
        <f>IF(TITLE_NUMBER_PR_CHANGE="",IF(TITLE_NUMBER_PR="","",TITLE_NUMBER_PR),TITLE_NUMBER_PR_CHANGE)</f>
        <v/>
      </c>
      <c r="AC32" s="1280"/>
      <c r="AD32" s="1280"/>
      <c r="AE32" s="1280"/>
      <c r="AF32" s="1280"/>
      <c r="AG32" s="1280"/>
      <c r="AH32" s="1280"/>
      <c r="AI32" s="1280"/>
      <c r="AJ32" s="1280"/>
      <c r="AK32" s="1280"/>
      <c r="AL32" s="1280"/>
      <c r="AM32" s="1280"/>
      <c r="AN32" s="1280"/>
      <c r="AO32" s="1280"/>
      <c r="AP32" s="1280"/>
      <c r="AQ32" s="1280"/>
      <c r="AR32" s="1280"/>
      <c r="AS32" s="9"/>
      <c r="AT32" s="9"/>
      <c r="AU32" s="162"/>
      <c r="AV32" s="66"/>
      <c r="AW32" s="66"/>
      <c r="AX32" s="66"/>
      <c r="AY32" s="66"/>
      <c r="AZ32" s="66"/>
    </row>
    <row r="33" spans="1:52" s="33" customFormat="1" ht="18.75" hidden="1" customHeight="1">
      <c r="A33" s="79"/>
      <c r="B33" s="79"/>
      <c r="C33" s="79"/>
      <c r="D33" s="79"/>
      <c r="E33" s="79"/>
      <c r="F33" s="79"/>
      <c r="G33" s="79"/>
      <c r="H33" s="79"/>
      <c r="I33" s="79"/>
      <c r="J33" s="79"/>
      <c r="K33" s="79"/>
      <c r="L33" s="794"/>
      <c r="M33" s="79"/>
      <c r="N33" s="79"/>
      <c r="O33" s="79"/>
      <c r="P33" s="79"/>
      <c r="Q33" s="79"/>
      <c r="S33" s="1278" t="s">
        <v>41</v>
      </c>
      <c r="T33" s="1278"/>
      <c r="U33" s="797"/>
      <c r="V33" s="1280"/>
      <c r="W33" s="1280"/>
      <c r="X33" s="1280"/>
      <c r="Y33" s="1280"/>
      <c r="Z33" s="1280"/>
      <c r="AA33" s="9"/>
      <c r="AB33" s="1280" t="str">
        <f>IF(TITLE_IST_PUB_CHANGE="",IF(TITLE_IST_PUB="","",TITLE_IST_PUB),TITLE_IST_PUB_CHANGE)</f>
        <v/>
      </c>
      <c r="AC33" s="1280"/>
      <c r="AD33" s="1280"/>
      <c r="AE33" s="1280"/>
      <c r="AF33" s="1280"/>
      <c r="AG33" s="1280"/>
      <c r="AH33" s="1280"/>
      <c r="AI33" s="1280"/>
      <c r="AJ33" s="1280"/>
      <c r="AK33" s="1280"/>
      <c r="AL33" s="1280"/>
      <c r="AM33" s="1280"/>
      <c r="AN33" s="1280"/>
      <c r="AO33" s="1280"/>
      <c r="AP33" s="1280"/>
      <c r="AQ33" s="1280"/>
      <c r="AR33" s="1280"/>
      <c r="AS33" s="9"/>
      <c r="AT33" s="9"/>
      <c r="AU33" s="162"/>
      <c r="AV33" s="66"/>
      <c r="AW33" s="66"/>
      <c r="AX33" s="66"/>
      <c r="AY33" s="66"/>
      <c r="AZ33" s="66"/>
    </row>
    <row r="34" spans="1:52" ht="14.25" hidden="1" customHeight="1">
      <c r="Q34" s="167"/>
      <c r="R34" s="27"/>
      <c r="S34" s="764"/>
      <c r="T34" s="8"/>
      <c r="U34" s="8"/>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row>
    <row r="35" spans="1:52" s="33" customFormat="1" ht="18.75" hidden="1" customHeight="1">
      <c r="A35" s="79"/>
      <c r="B35" s="79"/>
      <c r="C35" s="79"/>
      <c r="D35" s="79"/>
      <c r="E35" s="79"/>
      <c r="F35" s="79"/>
      <c r="G35" s="79"/>
      <c r="H35" s="79"/>
      <c r="I35" s="79"/>
      <c r="J35" s="79"/>
      <c r="K35" s="79"/>
      <c r="L35" s="794"/>
      <c r="M35" s="79"/>
      <c r="N35" s="79"/>
      <c r="O35" s="79"/>
      <c r="P35" s="79"/>
      <c r="Q35" s="79"/>
      <c r="S35" s="1278" t="s">
        <v>494</v>
      </c>
      <c r="T35" s="1278"/>
      <c r="U35" s="797"/>
      <c r="V35" s="1279"/>
      <c r="W35" s="1279"/>
      <c r="X35" s="1279"/>
      <c r="Y35" s="1279"/>
      <c r="Z35" s="1279"/>
      <c r="AA35" s="9"/>
      <c r="AB35" s="1279" t="str">
        <f>IF(TITLE_DATE_CHANGE_PERIOD="",IF(TITLE_DATE_PR="","",TITLE_DATE_PR),TITLE_DATE_CHANGE_PERIOD)</f>
        <v/>
      </c>
      <c r="AC35" s="1279"/>
      <c r="AD35" s="1279"/>
      <c r="AE35" s="1279"/>
      <c r="AF35" s="1279"/>
      <c r="AG35" s="1279"/>
      <c r="AH35" s="1279"/>
      <c r="AI35" s="1279"/>
      <c r="AJ35" s="1279"/>
      <c r="AK35" s="1279"/>
      <c r="AL35" s="1279"/>
      <c r="AM35" s="1279"/>
      <c r="AN35" s="1279"/>
      <c r="AO35" s="1279"/>
      <c r="AP35" s="1279"/>
      <c r="AQ35" s="1279"/>
      <c r="AR35" s="1279"/>
      <c r="AS35" s="9"/>
      <c r="AT35" s="9"/>
      <c r="AU35" s="162"/>
      <c r="AV35" s="66"/>
      <c r="AW35" s="66"/>
      <c r="AX35" s="66"/>
      <c r="AY35" s="66"/>
      <c r="AZ35" s="66"/>
    </row>
    <row r="36" spans="1:52" s="33" customFormat="1" ht="18" hidden="1" customHeight="1">
      <c r="A36" s="79"/>
      <c r="B36" s="79"/>
      <c r="C36" s="79"/>
      <c r="D36" s="79"/>
      <c r="E36" s="79"/>
      <c r="F36" s="79"/>
      <c r="G36" s="79"/>
      <c r="H36" s="79"/>
      <c r="I36" s="79"/>
      <c r="J36" s="79"/>
      <c r="K36" s="79"/>
      <c r="L36" s="794"/>
      <c r="M36" s="79"/>
      <c r="N36" s="79"/>
      <c r="O36" s="79"/>
      <c r="P36" s="79"/>
      <c r="Q36" s="79"/>
      <c r="S36" s="1278" t="s">
        <v>495</v>
      </c>
      <c r="T36" s="1278"/>
      <c r="U36" s="797"/>
      <c r="V36" s="1280"/>
      <c r="W36" s="1280"/>
      <c r="X36" s="1280"/>
      <c r="Y36" s="1280"/>
      <c r="Z36" s="1280"/>
      <c r="AA36" s="9"/>
      <c r="AB36" s="1280" t="str">
        <f>IF(TITLE_NUMBER_PR_CHANGE="",IF(TITLE_NUMBER_PR="","",TITLE_NUMBER_PR),TITLE_NUMBER_PR_CHANGE)</f>
        <v/>
      </c>
      <c r="AC36" s="1280"/>
      <c r="AD36" s="1280"/>
      <c r="AE36" s="1280"/>
      <c r="AF36" s="1280"/>
      <c r="AG36" s="1280"/>
      <c r="AH36" s="1280"/>
      <c r="AI36" s="1280"/>
      <c r="AJ36" s="1280"/>
      <c r="AK36" s="1280"/>
      <c r="AL36" s="1280"/>
      <c r="AM36" s="1280"/>
      <c r="AN36" s="1280"/>
      <c r="AO36" s="1280"/>
      <c r="AP36" s="1280"/>
      <c r="AQ36" s="1280"/>
      <c r="AR36" s="1280"/>
      <c r="AS36" s="9"/>
      <c r="AT36" s="9"/>
      <c r="AU36" s="162"/>
      <c r="AV36" s="66"/>
      <c r="AW36" s="66"/>
      <c r="AX36" s="66"/>
      <c r="AY36" s="66"/>
      <c r="AZ36" s="66"/>
    </row>
    <row r="37" spans="1:52" s="33" customFormat="1" ht="0.75" customHeight="1">
      <c r="A37" s="79"/>
      <c r="B37" s="79"/>
      <c r="C37" s="79"/>
      <c r="D37" s="79"/>
      <c r="E37" s="79"/>
      <c r="F37" s="79"/>
      <c r="G37" s="79"/>
      <c r="H37" s="79"/>
      <c r="I37" s="79"/>
      <c r="J37" s="79"/>
      <c r="K37" s="79"/>
      <c r="L37" s="794"/>
      <c r="M37" s="79"/>
      <c r="N37" s="79"/>
      <c r="O37" s="79"/>
      <c r="P37" s="79"/>
      <c r="Q37" s="79"/>
      <c r="S37" s="9"/>
      <c r="T37" s="9"/>
      <c r="U37" s="75"/>
      <c r="V37" s="9"/>
      <c r="W37" s="9"/>
      <c r="X37" s="9"/>
      <c r="Y37" s="9"/>
      <c r="Z37" s="9"/>
      <c r="AA37" s="65" t="s">
        <v>498</v>
      </c>
      <c r="AB37" s="9"/>
      <c r="AC37" s="9"/>
      <c r="AD37" s="9"/>
      <c r="AE37" s="9"/>
      <c r="AF37" s="9"/>
      <c r="AG37" s="9"/>
      <c r="AH37" s="9"/>
      <c r="AI37" s="9"/>
      <c r="AJ37" s="9"/>
      <c r="AK37" s="9"/>
      <c r="AL37" s="9"/>
      <c r="AM37" s="9"/>
      <c r="AN37" s="9"/>
      <c r="AO37" s="9"/>
      <c r="AP37" s="9"/>
      <c r="AQ37" s="9"/>
      <c r="AR37" s="9"/>
      <c r="AS37" s="65" t="s">
        <v>498</v>
      </c>
      <c r="AV37" s="66"/>
      <c r="AW37" s="66"/>
      <c r="AX37" s="66"/>
      <c r="AY37" s="66"/>
      <c r="AZ37" s="66"/>
    </row>
    <row r="38" spans="1:52" ht="14.25" customHeight="1">
      <c r="Q38" s="167"/>
      <c r="R38" s="27"/>
      <c r="S38" s="764"/>
      <c r="T38" s="8"/>
      <c r="U38" s="736"/>
      <c r="V38" s="1298"/>
      <c r="W38" s="1298"/>
      <c r="X38" s="1298"/>
      <c r="Y38" s="1298"/>
      <c r="Z38" s="1298"/>
      <c r="AA38" s="1298"/>
      <c r="AB38" s="1298"/>
      <c r="AC38" s="1298"/>
      <c r="AD38" s="1298"/>
      <c r="AE38" s="1298"/>
      <c r="AF38" s="1298"/>
      <c r="AG38" s="1298"/>
      <c r="AH38" s="1298"/>
      <c r="AI38" s="1298"/>
      <c r="AJ38" s="1298"/>
      <c r="AK38" s="1298"/>
      <c r="AL38" s="1298"/>
      <c r="AM38" s="1298"/>
      <c r="AN38" s="1298"/>
      <c r="AO38" s="1298"/>
      <c r="AP38" s="1298"/>
      <c r="AQ38" s="1298"/>
      <c r="AR38" s="1298"/>
      <c r="AS38" s="1298"/>
    </row>
    <row r="39" spans="1:52" ht="14.25" customHeight="1">
      <c r="Q39" s="167"/>
      <c r="R39" s="27"/>
      <c r="S39" s="1082" t="s">
        <v>302</v>
      </c>
      <c r="T39" s="1082"/>
      <c r="U39" s="1082"/>
      <c r="V39" s="1082"/>
      <c r="W39" s="1082"/>
      <c r="X39" s="1082"/>
      <c r="Y39" s="1082"/>
      <c r="Z39" s="1082"/>
      <c r="AA39" s="1082"/>
      <c r="AB39" s="1145"/>
      <c r="AC39" s="1145"/>
      <c r="AD39" s="1145"/>
      <c r="AE39" s="1145"/>
      <c r="AF39" s="1082"/>
      <c r="AG39" s="1082"/>
      <c r="AH39" s="1082"/>
      <c r="AI39" s="1082"/>
      <c r="AJ39" s="1082"/>
      <c r="AK39" s="1082"/>
      <c r="AL39" s="1082"/>
      <c r="AM39" s="1082"/>
      <c r="AN39" s="1082"/>
      <c r="AO39" s="1082"/>
      <c r="AP39" s="1082"/>
      <c r="AQ39" s="1082"/>
      <c r="AR39" s="1082"/>
      <c r="AS39" s="1082"/>
      <c r="AT39" s="1082"/>
      <c r="AU39" s="1082" t="s">
        <v>303</v>
      </c>
    </row>
    <row r="40" spans="1:52" ht="14.25" customHeight="1">
      <c r="Q40" s="167"/>
      <c r="R40" s="27"/>
      <c r="S40" s="1299" t="s">
        <v>88</v>
      </c>
      <c r="T40" s="1176" t="s">
        <v>556</v>
      </c>
      <c r="U40" s="171"/>
      <c r="V40" s="1301"/>
      <c r="W40" s="1301"/>
      <c r="X40" s="1301"/>
      <c r="Y40" s="1301"/>
      <c r="Z40" s="1302"/>
      <c r="AA40" s="1342" t="s">
        <v>501</v>
      </c>
      <c r="AB40" s="1326" t="s">
        <v>557</v>
      </c>
      <c r="AC40" s="1315"/>
      <c r="AD40" s="1315"/>
      <c r="AE40" s="1327"/>
      <c r="AF40" s="1315" t="s">
        <v>558</v>
      </c>
      <c r="AG40" s="1315"/>
      <c r="AH40" s="1315"/>
      <c r="AI40" s="1327"/>
      <c r="AJ40" s="1326" t="s">
        <v>559</v>
      </c>
      <c r="AK40" s="1315"/>
      <c r="AL40" s="1315"/>
      <c r="AM40" s="1327"/>
      <c r="AN40" s="1326" t="s">
        <v>500</v>
      </c>
      <c r="AO40" s="1315"/>
      <c r="AP40" s="1301"/>
      <c r="AQ40" s="1301"/>
      <c r="AR40" s="1302"/>
      <c r="AS40" s="1303" t="s">
        <v>501</v>
      </c>
      <c r="AT40" s="1306" t="s">
        <v>503</v>
      </c>
      <c r="AU40" s="1082"/>
    </row>
    <row r="41" spans="1:52" ht="33.75" customHeight="1">
      <c r="Q41" s="167"/>
      <c r="R41" s="27"/>
      <c r="S41" s="1299"/>
      <c r="T41" s="1176"/>
      <c r="U41" s="621"/>
      <c r="V41" s="1146" t="s">
        <v>560</v>
      </c>
      <c r="W41" s="1147"/>
      <c r="X41" s="1146" t="s">
        <v>507</v>
      </c>
      <c r="Y41" s="1320"/>
      <c r="Z41" s="1147"/>
      <c r="AA41" s="1343"/>
      <c r="AB41" s="1328"/>
      <c r="AC41" s="1329"/>
      <c r="AD41" s="1329"/>
      <c r="AE41" s="1341"/>
      <c r="AF41" s="1329"/>
      <c r="AG41" s="1329"/>
      <c r="AH41" s="1329"/>
      <c r="AI41" s="1341"/>
      <c r="AJ41" s="1328"/>
      <c r="AK41" s="1329"/>
      <c r="AL41" s="1329"/>
      <c r="AM41" s="1329"/>
      <c r="AN41" s="1082" t="s">
        <v>561</v>
      </c>
      <c r="AO41" s="1082"/>
      <c r="AP41" s="1320" t="s">
        <v>507</v>
      </c>
      <c r="AQ41" s="1320"/>
      <c r="AR41" s="1147"/>
      <c r="AS41" s="1304"/>
      <c r="AT41" s="1307"/>
      <c r="AU41" s="1082"/>
    </row>
    <row r="42" spans="1:52" ht="14.25" customHeight="1">
      <c r="Q42" s="167"/>
      <c r="R42" s="27"/>
      <c r="S42" s="1299"/>
      <c r="T42" s="1176"/>
      <c r="U42" s="621"/>
      <c r="V42" s="1151"/>
      <c r="W42" s="1152"/>
      <c r="X42" s="1151"/>
      <c r="Y42" s="1321"/>
      <c r="Z42" s="1152"/>
      <c r="AA42" s="1343"/>
      <c r="AB42" s="1328"/>
      <c r="AC42" s="1329"/>
      <c r="AD42" s="1329"/>
      <c r="AE42" s="1341"/>
      <c r="AF42" s="1329"/>
      <c r="AG42" s="1329"/>
      <c r="AH42" s="1329"/>
      <c r="AI42" s="1341"/>
      <c r="AJ42" s="1328"/>
      <c r="AK42" s="1329"/>
      <c r="AL42" s="1329"/>
      <c r="AM42" s="1329"/>
      <c r="AN42" s="1345"/>
      <c r="AO42" s="1345"/>
      <c r="AP42" s="1321"/>
      <c r="AQ42" s="1321"/>
      <c r="AR42" s="1152"/>
      <c r="AS42" s="1304"/>
      <c r="AT42" s="1307"/>
      <c r="AU42" s="1082"/>
    </row>
    <row r="43" spans="1:52" ht="14.25" customHeight="1">
      <c r="A43" s="79"/>
      <c r="B43" s="79" t="s">
        <v>151</v>
      </c>
      <c r="C43" s="79" t="s">
        <v>152</v>
      </c>
      <c r="D43" s="79" t="s">
        <v>153</v>
      </c>
      <c r="E43" s="794" t="s">
        <v>508</v>
      </c>
      <c r="F43" s="794" t="s">
        <v>509</v>
      </c>
      <c r="G43" s="794" t="s">
        <v>510</v>
      </c>
      <c r="H43" s="794" t="s">
        <v>511</v>
      </c>
      <c r="I43" s="794" t="s">
        <v>512</v>
      </c>
      <c r="J43" s="794" t="s">
        <v>513</v>
      </c>
      <c r="K43" s="794" t="s">
        <v>514</v>
      </c>
      <c r="L43" s="794" t="s">
        <v>489</v>
      </c>
      <c r="Q43" s="167"/>
      <c r="R43" s="27"/>
      <c r="S43" s="1299"/>
      <c r="T43" s="1176"/>
      <c r="U43" s="172"/>
      <c r="V43" s="34" t="s">
        <v>562</v>
      </c>
      <c r="W43" s="34" t="s">
        <v>563</v>
      </c>
      <c r="X43" s="37" t="s">
        <v>517</v>
      </c>
      <c r="Y43" s="1182" t="s">
        <v>518</v>
      </c>
      <c r="Z43" s="1195"/>
      <c r="AA43" s="1344"/>
      <c r="AB43" s="1330"/>
      <c r="AC43" s="1331"/>
      <c r="AD43" s="1331"/>
      <c r="AE43" s="1332"/>
      <c r="AF43" s="1331"/>
      <c r="AG43" s="1331"/>
      <c r="AH43" s="1331"/>
      <c r="AI43" s="1332"/>
      <c r="AJ43" s="1330"/>
      <c r="AK43" s="1331"/>
      <c r="AL43" s="1331"/>
      <c r="AM43" s="1332"/>
      <c r="AN43" s="1039" t="s">
        <v>562</v>
      </c>
      <c r="AO43" s="1039" t="s">
        <v>563</v>
      </c>
      <c r="AP43" s="37" t="s">
        <v>517</v>
      </c>
      <c r="AQ43" s="1182" t="s">
        <v>518</v>
      </c>
      <c r="AR43" s="1195"/>
      <c r="AS43" s="1305"/>
      <c r="AT43" s="1308"/>
      <c r="AU43" s="1082"/>
    </row>
    <row r="44" spans="1:52" s="209" customFormat="1" ht="11.25" hidden="1" customHeight="1">
      <c r="A44" s="79"/>
      <c r="B44" s="79"/>
      <c r="C44" s="79"/>
      <c r="D44" s="79"/>
      <c r="E44" s="79"/>
      <c r="F44" s="79"/>
      <c r="G44" s="79"/>
      <c r="H44" s="79"/>
      <c r="I44" s="79"/>
      <c r="J44" s="79"/>
      <c r="K44" s="79"/>
      <c r="L44" s="794"/>
      <c r="M44" s="519"/>
      <c r="N44" s="519"/>
      <c r="O44" s="519"/>
      <c r="P44" s="228"/>
      <c r="Q44" s="747"/>
      <c r="R44" s="747">
        <v>1</v>
      </c>
      <c r="S44" s="766" t="s">
        <v>119</v>
      </c>
      <c r="T44" s="748" t="s">
        <v>103</v>
      </c>
      <c r="U44" s="737" t="str">
        <f ca="1">OFFSET(U44,0,-1)</f>
        <v>2</v>
      </c>
      <c r="V44" s="749">
        <f ca="1">OFFSET(V44,0,-1)+1</f>
        <v>3</v>
      </c>
      <c r="W44" s="749">
        <f ca="1">OFFSET(W44,0,-1)+1</f>
        <v>4</v>
      </c>
      <c r="X44" s="749">
        <f ca="1">OFFSET(X44,0,-1)+1</f>
        <v>5</v>
      </c>
      <c r="Y44" s="1297">
        <f ca="1">OFFSET(Y44,0,-1)+1</f>
        <v>6</v>
      </c>
      <c r="Z44" s="1297"/>
      <c r="AA44" s="749">
        <f ca="1">OFFSET(AA44,0,-2)+1</f>
        <v>7</v>
      </c>
      <c r="AB44" s="298">
        <f ca="1">OFFSET(AB44,0,-1)+1</f>
        <v>8</v>
      </c>
      <c r="AC44" s="298"/>
      <c r="AD44" s="298"/>
      <c r="AE44" s="298"/>
      <c r="AF44" s="749"/>
      <c r="AG44" s="749"/>
      <c r="AH44" s="749"/>
      <c r="AI44" s="749"/>
      <c r="AJ44" s="749"/>
      <c r="AK44" s="749"/>
      <c r="AL44" s="749"/>
      <c r="AM44" s="749"/>
      <c r="AN44" s="749">
        <f ca="1">OFFSET(AN44,0,-1)+1</f>
        <v>1</v>
      </c>
      <c r="AO44" s="749">
        <f ca="1">OFFSET(AO44,0,-1)+1</f>
        <v>2</v>
      </c>
      <c r="AP44" s="749">
        <f ca="1">OFFSET(AP44,0,-1)+1</f>
        <v>3</v>
      </c>
      <c r="AQ44" s="1297">
        <f ca="1">OFFSET(AQ44,0,-1)+1</f>
        <v>4</v>
      </c>
      <c r="AR44" s="1297"/>
      <c r="AS44" s="749">
        <f ca="1">OFFSET(AS44,0,-2)+1</f>
        <v>5</v>
      </c>
      <c r="AT44" s="737">
        <f ca="1">OFFSET(AT44,0,-1)</f>
        <v>5</v>
      </c>
      <c r="AU44" s="749">
        <f ca="1">OFFSET(AU44,0,-1)+1</f>
        <v>6</v>
      </c>
      <c r="AV44" s="65"/>
      <c r="AW44" s="65"/>
      <c r="AX44" s="65"/>
      <c r="AY44" s="65"/>
      <c r="AZ44" s="65"/>
    </row>
    <row r="45" spans="1:52" ht="102" customHeight="1">
      <c r="A45" s="793" t="s">
        <v>214</v>
      </c>
      <c r="B45" s="793"/>
      <c r="C45" s="793"/>
      <c r="D45" s="793"/>
      <c r="E45" s="1287">
        <v>1</v>
      </c>
      <c r="F45" s="793"/>
      <c r="G45" s="793"/>
      <c r="H45" s="793"/>
      <c r="I45" s="793"/>
      <c r="J45" s="793"/>
      <c r="K45" s="793"/>
      <c r="L45" s="794"/>
      <c r="M45" s="433"/>
      <c r="N45" s="433"/>
      <c r="O45" s="433"/>
      <c r="Q45" s="59"/>
      <c r="R45" s="213"/>
      <c r="S45" s="725">
        <f>INDEX(PT_DIFFERENTIATION_NUM_NTAR,MATCH(A45,PT_DIFFERENTIATION_NTAR_ID,0))</f>
        <v>0</v>
      </c>
      <c r="T45" s="64" t="s">
        <v>139</v>
      </c>
      <c r="U45" s="170"/>
      <c r="V45" s="1282"/>
      <c r="W45" s="1282"/>
      <c r="X45" s="1282"/>
      <c r="Y45" s="1282"/>
      <c r="Z45" s="1282"/>
      <c r="AA45" s="1283"/>
      <c r="AB45" s="1281" t="str">
        <f>INDEX(PT_DIFFERENTIATION_NTAR,MATCH(A45,PT_DIFFERENTIATION_NTAR_ID,0))</f>
        <v/>
      </c>
      <c r="AC45" s="1282"/>
      <c r="AD45" s="1282"/>
      <c r="AE45" s="1282"/>
      <c r="AF45" s="1282"/>
      <c r="AG45" s="1282"/>
      <c r="AH45" s="1282"/>
      <c r="AI45" s="1282"/>
      <c r="AJ45" s="1282"/>
      <c r="AK45" s="1282"/>
      <c r="AL45" s="1282"/>
      <c r="AM45" s="1282"/>
      <c r="AN45" s="1282"/>
      <c r="AO45" s="1282"/>
      <c r="AP45" s="1282"/>
      <c r="AQ45" s="1282"/>
      <c r="AR45" s="1282"/>
      <c r="AS45" s="1282"/>
      <c r="AT45" s="1283"/>
      <c r="AU45" s="75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6"/>
      <c r="AX45" s="66" t="str">
        <f t="shared" ref="AX45:AX51" si="2">IF(T45="","",T45)</f>
        <v>Наименование тарифа</v>
      </c>
      <c r="AY45" s="66"/>
      <c r="AZ45" s="66"/>
    </row>
    <row r="46" spans="1:52" ht="21" customHeight="1">
      <c r="A46" s="793" t="s">
        <v>214</v>
      </c>
      <c r="B46" s="793" t="s">
        <v>215</v>
      </c>
      <c r="C46" s="793"/>
      <c r="D46" s="793"/>
      <c r="E46" s="1288"/>
      <c r="F46" s="1287">
        <v>1</v>
      </c>
      <c r="G46" s="793"/>
      <c r="H46" s="793"/>
      <c r="I46" s="793"/>
      <c r="J46" s="793"/>
      <c r="K46" s="793"/>
      <c r="L46" s="794"/>
      <c r="M46" s="433"/>
      <c r="N46" s="433"/>
      <c r="O46" s="433"/>
      <c r="P46" s="312"/>
      <c r="Q46" s="826"/>
      <c r="R46" s="211"/>
      <c r="S46" s="725" t="str">
        <f>INDEX(PT_DIFFERENTIATION_NUM_TER,MATCH(B46,PT_DIFFERENTIATION_TER_ID,0))</f>
        <v>.</v>
      </c>
      <c r="T46" s="178" t="s">
        <v>471</v>
      </c>
      <c r="U46" s="170"/>
      <c r="V46" s="1282"/>
      <c r="W46" s="1282"/>
      <c r="X46" s="1282"/>
      <c r="Y46" s="1282"/>
      <c r="Z46" s="1282"/>
      <c r="AA46" s="1283"/>
      <c r="AB46" s="1281" t="str">
        <f>INDEX(PT_DIFFERENTIATION_TER,MATCH(B46,PT_DIFFERENTIATION_TER_ID,0))</f>
        <v/>
      </c>
      <c r="AC46" s="1282"/>
      <c r="AD46" s="1282"/>
      <c r="AE46" s="1282"/>
      <c r="AF46" s="1282"/>
      <c r="AG46" s="1282"/>
      <c r="AH46" s="1282"/>
      <c r="AI46" s="1282"/>
      <c r="AJ46" s="1282"/>
      <c r="AK46" s="1282"/>
      <c r="AL46" s="1282"/>
      <c r="AM46" s="1282"/>
      <c r="AN46" s="1282"/>
      <c r="AO46" s="1282"/>
      <c r="AP46" s="1282"/>
      <c r="AQ46" s="1282"/>
      <c r="AR46" s="1282"/>
      <c r="AS46" s="1282"/>
      <c r="AT46" s="1283"/>
      <c r="AU46" s="753" t="s">
        <v>472</v>
      </c>
      <c r="AW46" s="66"/>
      <c r="AX46" s="66" t="str">
        <f t="shared" si="2"/>
        <v>Территория действия тарифа</v>
      </c>
      <c r="AY46" s="66"/>
      <c r="AZ46" s="66"/>
    </row>
    <row r="47" spans="1:52" ht="23.25" customHeight="1">
      <c r="A47" s="793" t="s">
        <v>214</v>
      </c>
      <c r="B47" s="793" t="s">
        <v>215</v>
      </c>
      <c r="C47" s="793" t="s">
        <v>216</v>
      </c>
      <c r="D47" s="793"/>
      <c r="E47" s="1288"/>
      <c r="F47" s="1288"/>
      <c r="G47" s="1287">
        <v>1</v>
      </c>
      <c r="H47" s="793"/>
      <c r="I47" s="793"/>
      <c r="J47" s="793"/>
      <c r="K47" s="793"/>
      <c r="L47" s="794"/>
      <c r="M47" s="433"/>
      <c r="N47" s="433"/>
      <c r="O47" s="433"/>
      <c r="P47" s="128"/>
      <c r="Q47" s="826"/>
      <c r="R47" s="211"/>
      <c r="S47" s="725" t="str">
        <f>INDEX(PT_DIFFERENTIATION_NUM_CS,MATCH(C47,PT_DIFFERENTIATION_CS_ID,0))</f>
        <v>..</v>
      </c>
      <c r="T47" s="179" t="s">
        <v>473</v>
      </c>
      <c r="U47" s="170"/>
      <c r="V47" s="1282"/>
      <c r="W47" s="1282"/>
      <c r="X47" s="1282"/>
      <c r="Y47" s="1282"/>
      <c r="Z47" s="1282"/>
      <c r="AA47" s="1283"/>
      <c r="AB47" s="1281" t="str">
        <f>INDEX(PT_DIFFERENTIATION_CS,MATCH(C47,PT_DIFFERENTIATION_CS_ID,0))</f>
        <v/>
      </c>
      <c r="AC47" s="1282"/>
      <c r="AD47" s="1282"/>
      <c r="AE47" s="1282"/>
      <c r="AF47" s="1282"/>
      <c r="AG47" s="1282"/>
      <c r="AH47" s="1282"/>
      <c r="AI47" s="1282"/>
      <c r="AJ47" s="1282"/>
      <c r="AK47" s="1282"/>
      <c r="AL47" s="1282"/>
      <c r="AM47" s="1282"/>
      <c r="AN47" s="1282"/>
      <c r="AO47" s="1282"/>
      <c r="AP47" s="1282"/>
      <c r="AQ47" s="1282"/>
      <c r="AR47" s="1282"/>
      <c r="AS47" s="1282"/>
      <c r="AT47" s="1283"/>
      <c r="AU47" s="753" t="s">
        <v>474</v>
      </c>
      <c r="AW47" s="66"/>
      <c r="AX47" s="66" t="str">
        <f t="shared" si="2"/>
        <v xml:space="preserve">Наименование системы теплоснабжения </v>
      </c>
      <c r="AY47" s="66"/>
      <c r="AZ47" s="66"/>
    </row>
    <row r="48" spans="1:52" ht="21" customHeight="1">
      <c r="A48" s="793" t="s">
        <v>214</v>
      </c>
      <c r="B48" s="793" t="s">
        <v>215</v>
      </c>
      <c r="C48" s="793" t="s">
        <v>216</v>
      </c>
      <c r="D48" s="793" t="s">
        <v>217</v>
      </c>
      <c r="E48" s="1288"/>
      <c r="F48" s="1288"/>
      <c r="G48" s="1288"/>
      <c r="H48" s="1287">
        <v>1</v>
      </c>
      <c r="I48" s="793"/>
      <c r="J48" s="793"/>
      <c r="K48" s="793"/>
      <c r="L48" s="794"/>
      <c r="M48" s="433"/>
      <c r="N48" s="433"/>
      <c r="O48" s="433"/>
      <c r="P48" s="128"/>
      <c r="Q48" s="826"/>
      <c r="R48" s="211"/>
      <c r="S48" s="725" t="str">
        <f>INDEX(PT_DIFFERENTIATION_NUM_IST_TE,MATCH(D48,PT_DIFFERENTIATION_IST_TE_ID,0))</f>
        <v>...</v>
      </c>
      <c r="T48" s="180" t="s">
        <v>475</v>
      </c>
      <c r="U48" s="170"/>
      <c r="V48" s="1282"/>
      <c r="W48" s="1282"/>
      <c r="X48" s="1282"/>
      <c r="Y48" s="1282"/>
      <c r="Z48" s="1282"/>
      <c r="AA48" s="1283"/>
      <c r="AB48" s="1281" t="str">
        <f>INDEX(PT_DIFFERENTIATION_IST_TE,MATCH(D48,PT_DIFFERENTIATION_IST_TE_ID,0))</f>
        <v/>
      </c>
      <c r="AC48" s="1282"/>
      <c r="AD48" s="1282"/>
      <c r="AE48" s="1282"/>
      <c r="AF48" s="1282"/>
      <c r="AG48" s="1282"/>
      <c r="AH48" s="1282"/>
      <c r="AI48" s="1282"/>
      <c r="AJ48" s="1282"/>
      <c r="AK48" s="1282"/>
      <c r="AL48" s="1282"/>
      <c r="AM48" s="1282"/>
      <c r="AN48" s="1282"/>
      <c r="AO48" s="1282"/>
      <c r="AP48" s="1282"/>
      <c r="AQ48" s="1282"/>
      <c r="AR48" s="1282"/>
      <c r="AS48" s="1282"/>
      <c r="AT48" s="1283"/>
      <c r="AU48" s="753" t="s">
        <v>476</v>
      </c>
      <c r="AW48" s="66"/>
      <c r="AX48" s="66" t="str">
        <f t="shared" si="2"/>
        <v xml:space="preserve">Источник тепловой энергии  </v>
      </c>
      <c r="AY48" s="66"/>
      <c r="AZ48" s="66"/>
    </row>
    <row r="49" spans="1:52" s="65" customFormat="1" ht="0" hidden="1" customHeight="1">
      <c r="A49" s="142" t="s">
        <v>214</v>
      </c>
      <c r="B49" s="142" t="s">
        <v>215</v>
      </c>
      <c r="C49" s="142" t="s">
        <v>216</v>
      </c>
      <c r="D49" s="142" t="s">
        <v>217</v>
      </c>
      <c r="E49" s="1288"/>
      <c r="F49" s="1288"/>
      <c r="G49" s="1288"/>
      <c r="H49" s="1288"/>
      <c r="I49" s="1289" t="str">
        <f>S48&amp;".1"</f>
        <v>....1</v>
      </c>
      <c r="J49" s="142"/>
      <c r="K49" s="142"/>
      <c r="L49" s="355" t="s">
        <v>477</v>
      </c>
      <c r="M49" s="228"/>
      <c r="N49" s="228"/>
      <c r="O49" s="228"/>
      <c r="P49" s="1211">
        <v>1</v>
      </c>
      <c r="Q49" s="119"/>
      <c r="R49" s="214"/>
      <c r="S49" s="371"/>
      <c r="T49" s="803"/>
      <c r="U49" s="804"/>
      <c r="V49" s="1317"/>
      <c r="W49" s="1317"/>
      <c r="X49" s="1317"/>
      <c r="Y49" s="1317"/>
      <c r="Z49" s="1317"/>
      <c r="AA49" s="1318"/>
      <c r="AB49" s="1316"/>
      <c r="AC49" s="1317"/>
      <c r="AD49" s="1317"/>
      <c r="AE49" s="1317"/>
      <c r="AF49" s="1317"/>
      <c r="AG49" s="1317"/>
      <c r="AH49" s="1317"/>
      <c r="AI49" s="1317"/>
      <c r="AJ49" s="1317"/>
      <c r="AK49" s="1317"/>
      <c r="AL49" s="1317"/>
      <c r="AM49" s="1317"/>
      <c r="AN49" s="1317"/>
      <c r="AO49" s="1317"/>
      <c r="AP49" s="1317"/>
      <c r="AQ49" s="1317"/>
      <c r="AR49" s="1317"/>
      <c r="AS49" s="1317"/>
      <c r="AT49" s="1318"/>
      <c r="AU49" s="805"/>
      <c r="AW49" s="66"/>
      <c r="AX49" s="66" t="str">
        <f t="shared" si="2"/>
        <v/>
      </c>
      <c r="AY49" s="66"/>
      <c r="AZ49" s="66"/>
    </row>
    <row r="50" spans="1:52" s="65" customFormat="1" ht="0" hidden="1" customHeight="1">
      <c r="A50" s="142" t="s">
        <v>214</v>
      </c>
      <c r="B50" s="142" t="s">
        <v>215</v>
      </c>
      <c r="C50" s="142" t="s">
        <v>216</v>
      </c>
      <c r="D50" s="142" t="s">
        <v>217</v>
      </c>
      <c r="E50" s="1288"/>
      <c r="F50" s="1288"/>
      <c r="G50" s="1288"/>
      <c r="H50" s="1288"/>
      <c r="I50" s="1290"/>
      <c r="J50" s="1289" t="str">
        <f>S48&amp;".1"</f>
        <v>....1</v>
      </c>
      <c r="K50" s="142"/>
      <c r="L50" s="355"/>
      <c r="M50" s="228"/>
      <c r="N50" s="228"/>
      <c r="O50" s="228"/>
      <c r="P50" s="1211"/>
      <c r="Q50" s="1211">
        <v>1</v>
      </c>
      <c r="R50" s="215"/>
      <c r="S50" s="371"/>
      <c r="T50" s="818"/>
      <c r="U50" s="804"/>
      <c r="V50" s="1317"/>
      <c r="W50" s="1317"/>
      <c r="X50" s="1317"/>
      <c r="Y50" s="1317"/>
      <c r="Z50" s="1317"/>
      <c r="AA50" s="1318"/>
      <c r="AB50" s="1316"/>
      <c r="AC50" s="1317"/>
      <c r="AD50" s="1317"/>
      <c r="AE50" s="1317"/>
      <c r="AF50" s="1317"/>
      <c r="AG50" s="1317"/>
      <c r="AH50" s="1317"/>
      <c r="AI50" s="1317"/>
      <c r="AJ50" s="1317"/>
      <c r="AK50" s="1317"/>
      <c r="AL50" s="1317"/>
      <c r="AM50" s="1317"/>
      <c r="AN50" s="1317"/>
      <c r="AO50" s="1317"/>
      <c r="AP50" s="1317"/>
      <c r="AQ50" s="1317"/>
      <c r="AR50" s="1317"/>
      <c r="AS50" s="1317"/>
      <c r="AT50" s="1318"/>
      <c r="AU50" s="805"/>
      <c r="AW50" s="66"/>
      <c r="AX50" s="66" t="str">
        <f t="shared" si="2"/>
        <v/>
      </c>
      <c r="AY50" s="66"/>
      <c r="AZ50" s="66"/>
    </row>
    <row r="51" spans="1:52" ht="21" customHeight="1">
      <c r="A51" s="793" t="s">
        <v>214</v>
      </c>
      <c r="B51" s="793" t="s">
        <v>215</v>
      </c>
      <c r="C51" s="793" t="s">
        <v>216</v>
      </c>
      <c r="D51" s="793" t="s">
        <v>217</v>
      </c>
      <c r="E51" s="1288"/>
      <c r="F51" s="1288"/>
      <c r="G51" s="1288"/>
      <c r="H51" s="1288"/>
      <c r="I51" s="1290"/>
      <c r="J51" s="1290"/>
      <c r="K51" s="1289" t="str">
        <f>S48&amp;".1"</f>
        <v>....1</v>
      </c>
      <c r="L51" s="794"/>
      <c r="P51" s="1211"/>
      <c r="Q51" s="1211"/>
      <c r="R51" s="215">
        <v>1</v>
      </c>
      <c r="S51" s="1337" t="str">
        <f>$K51</f>
        <v>....1</v>
      </c>
      <c r="T51" s="1334"/>
      <c r="U51" s="170"/>
      <c r="V51" s="317"/>
      <c r="W51" s="752"/>
      <c r="X51" s="974"/>
      <c r="Y51" s="308" t="s">
        <v>59</v>
      </c>
      <c r="Z51" s="974"/>
      <c r="AA51" s="308" t="s">
        <v>59</v>
      </c>
      <c r="AB51" s="1092" t="s">
        <v>57</v>
      </c>
      <c r="AC51" s="1333"/>
      <c r="AD51" s="1171">
        <v>1</v>
      </c>
      <c r="AE51" s="1325" t="s">
        <v>18</v>
      </c>
      <c r="AF51" s="1092" t="s">
        <v>57</v>
      </c>
      <c r="AG51" s="1333"/>
      <c r="AH51" s="1171">
        <v>1</v>
      </c>
      <c r="AI51" s="1325" t="s">
        <v>18</v>
      </c>
      <c r="AJ51" s="1092" t="s">
        <v>57</v>
      </c>
      <c r="AK51" s="181"/>
      <c r="AL51" s="280">
        <v>1</v>
      </c>
      <c r="AM51" s="333"/>
      <c r="AN51" s="317"/>
      <c r="AO51" s="752"/>
      <c r="AP51" s="974"/>
      <c r="AQ51" s="308" t="s">
        <v>59</v>
      </c>
      <c r="AR51" s="974"/>
      <c r="AS51" s="308" t="s">
        <v>59</v>
      </c>
      <c r="AT51" s="790"/>
      <c r="AU51" s="1309" t="s">
        <v>564</v>
      </c>
      <c r="AV51" s="65" t="e">
        <f ca="1">STRCHECKDATE(V54:AT54)</f>
        <v>#NAME?</v>
      </c>
      <c r="AW51" s="66"/>
      <c r="AX51" s="66" t="str">
        <f t="shared" si="2"/>
        <v/>
      </c>
      <c r="AY51" s="66"/>
      <c r="AZ51" s="66"/>
    </row>
    <row r="52" spans="1:52" ht="11.25" customHeight="1">
      <c r="A52" s="793" t="s">
        <v>214</v>
      </c>
      <c r="B52" s="793"/>
      <c r="C52" s="793"/>
      <c r="D52" s="793"/>
      <c r="E52" s="1288"/>
      <c r="F52" s="1288"/>
      <c r="G52" s="1288"/>
      <c r="H52" s="1288"/>
      <c r="I52" s="1290"/>
      <c r="J52" s="1290"/>
      <c r="K52" s="1289"/>
      <c r="L52" s="794"/>
      <c r="P52" s="1211"/>
      <c r="Q52" s="1211"/>
      <c r="R52" s="215"/>
      <c r="S52" s="1338"/>
      <c r="T52" s="1335"/>
      <c r="U52" s="170"/>
      <c r="V52" s="813"/>
      <c r="W52" s="843"/>
      <c r="X52" s="813"/>
      <c r="Y52" s="813"/>
      <c r="Z52" s="813"/>
      <c r="AA52" s="813"/>
      <c r="AB52" s="1092"/>
      <c r="AC52" s="1333"/>
      <c r="AD52" s="1171"/>
      <c r="AE52" s="1325"/>
      <c r="AF52" s="1092"/>
      <c r="AG52" s="1333"/>
      <c r="AH52" s="1171"/>
      <c r="AI52" s="1325"/>
      <c r="AJ52" s="1092"/>
      <c r="AK52" s="186"/>
      <c r="AL52" s="50"/>
      <c r="AM52" s="107" t="s">
        <v>548</v>
      </c>
      <c r="AN52" s="813"/>
      <c r="AO52" s="843"/>
      <c r="AP52" s="813"/>
      <c r="AQ52" s="813"/>
      <c r="AR52" s="813"/>
      <c r="AS52" s="813"/>
      <c r="AT52" s="810"/>
      <c r="AU52" s="1310"/>
      <c r="AW52" s="66"/>
      <c r="AX52" s="66"/>
      <c r="AY52" s="66"/>
      <c r="AZ52" s="66"/>
    </row>
    <row r="53" spans="1:52" ht="11.25" customHeight="1">
      <c r="A53" s="793" t="s">
        <v>214</v>
      </c>
      <c r="B53" s="793"/>
      <c r="C53" s="793"/>
      <c r="D53" s="793"/>
      <c r="E53" s="1288"/>
      <c r="F53" s="1288"/>
      <c r="G53" s="1288"/>
      <c r="H53" s="1288"/>
      <c r="I53" s="1290"/>
      <c r="J53" s="1290"/>
      <c r="K53" s="1289"/>
      <c r="L53" s="794"/>
      <c r="P53" s="1211"/>
      <c r="Q53" s="1211"/>
      <c r="R53" s="215"/>
      <c r="S53" s="1338"/>
      <c r="T53" s="1335"/>
      <c r="U53" s="170"/>
      <c r="V53" s="813"/>
      <c r="W53" s="843"/>
      <c r="X53" s="813"/>
      <c r="Y53" s="813"/>
      <c r="Z53" s="813"/>
      <c r="AA53" s="813"/>
      <c r="AB53" s="1092"/>
      <c r="AC53" s="1333"/>
      <c r="AD53" s="1171"/>
      <c r="AE53" s="1325"/>
      <c r="AF53" s="1092"/>
      <c r="AG53" s="168"/>
      <c r="AH53" s="107"/>
      <c r="AI53" s="107" t="s">
        <v>549</v>
      </c>
      <c r="AJ53" s="813"/>
      <c r="AK53" s="813"/>
      <c r="AL53" s="813"/>
      <c r="AM53" s="813"/>
      <c r="AN53" s="813"/>
      <c r="AO53" s="843"/>
      <c r="AP53" s="813"/>
      <c r="AQ53" s="813"/>
      <c r="AR53" s="813"/>
      <c r="AS53" s="813"/>
      <c r="AT53" s="810"/>
      <c r="AU53" s="1310"/>
      <c r="AW53" s="66"/>
      <c r="AX53" s="66"/>
      <c r="AY53" s="66"/>
      <c r="AZ53" s="66"/>
    </row>
    <row r="54" spans="1:52" ht="11.25" customHeight="1">
      <c r="A54" s="793" t="s">
        <v>214</v>
      </c>
      <c r="B54" s="793" t="s">
        <v>215</v>
      </c>
      <c r="C54" s="793" t="s">
        <v>216</v>
      </c>
      <c r="D54" s="793" t="s">
        <v>217</v>
      </c>
      <c r="E54" s="1288"/>
      <c r="F54" s="1288"/>
      <c r="G54" s="1288"/>
      <c r="H54" s="1288"/>
      <c r="I54" s="1290"/>
      <c r="J54" s="1290"/>
      <c r="K54" s="1289"/>
      <c r="L54" s="794"/>
      <c r="P54" s="1211"/>
      <c r="Q54" s="1211"/>
      <c r="R54" s="215"/>
      <c r="S54" s="1339"/>
      <c r="T54" s="1336"/>
      <c r="U54" s="170"/>
      <c r="V54" s="813"/>
      <c r="W54" s="814" t="str">
        <f>X51&amp;"-"&amp;Z51</f>
        <v>-</v>
      </c>
      <c r="X54" s="813"/>
      <c r="Y54" s="813"/>
      <c r="Z54" s="813"/>
      <c r="AA54" s="813"/>
      <c r="AB54" s="1092"/>
      <c r="AC54" s="182"/>
      <c r="AD54" s="184"/>
      <c r="AE54" s="107" t="s">
        <v>550</v>
      </c>
      <c r="AF54" s="813"/>
      <c r="AG54" s="813"/>
      <c r="AH54" s="813"/>
      <c r="AI54" s="813"/>
      <c r="AJ54" s="813"/>
      <c r="AK54" s="813"/>
      <c r="AL54" s="813"/>
      <c r="AM54" s="813"/>
      <c r="AN54" s="813"/>
      <c r="AO54" s="814" t="str">
        <f>AP51&amp;"-"&amp;AR51</f>
        <v>-</v>
      </c>
      <c r="AP54" s="813"/>
      <c r="AQ54" s="813"/>
      <c r="AR54" s="813"/>
      <c r="AS54" s="813"/>
      <c r="AT54" s="791"/>
      <c r="AU54" s="1310"/>
      <c r="AW54" s="66"/>
      <c r="AX54" s="66" t="str">
        <f t="shared" ref="AX54:AX62" si="3">IF(T54="","",T54)</f>
        <v/>
      </c>
      <c r="AY54" s="66"/>
      <c r="AZ54" s="66"/>
    </row>
    <row r="55" spans="1:52" ht="11.25" customHeight="1">
      <c r="A55" s="793" t="s">
        <v>214</v>
      </c>
      <c r="B55" s="793" t="s">
        <v>215</v>
      </c>
      <c r="C55" s="793" t="s">
        <v>216</v>
      </c>
      <c r="D55" s="793" t="s">
        <v>217</v>
      </c>
      <c r="E55" s="1288"/>
      <c r="F55" s="1288"/>
      <c r="G55" s="1288"/>
      <c r="H55" s="1288"/>
      <c r="I55" s="1290"/>
      <c r="J55" s="1289"/>
      <c r="K55" s="793"/>
      <c r="L55" s="794"/>
      <c r="P55" s="1211"/>
      <c r="Q55" s="1211"/>
      <c r="R55" s="214"/>
      <c r="S55" s="767"/>
      <c r="T55" s="165" t="s">
        <v>551</v>
      </c>
      <c r="U55" s="221"/>
      <c r="V55" s="221"/>
      <c r="W55" s="221"/>
      <c r="X55" s="221"/>
      <c r="Y55" s="221"/>
      <c r="Z55" s="221"/>
      <c r="AA55" s="195"/>
      <c r="AB55" s="851"/>
      <c r="AC55" s="221"/>
      <c r="AD55" s="221"/>
      <c r="AE55" s="221"/>
      <c r="AF55" s="221"/>
      <c r="AG55" s="221"/>
      <c r="AH55" s="221"/>
      <c r="AI55" s="221"/>
      <c r="AJ55" s="221"/>
      <c r="AK55" s="221"/>
      <c r="AL55" s="221"/>
      <c r="AM55" s="221"/>
      <c r="AN55" s="221"/>
      <c r="AO55" s="221"/>
      <c r="AP55" s="221"/>
      <c r="AQ55" s="221"/>
      <c r="AR55" s="221"/>
      <c r="AS55" s="221"/>
      <c r="AT55" s="195"/>
      <c r="AU55" s="1311"/>
      <c r="AW55" s="66"/>
      <c r="AX55" s="66" t="str">
        <f t="shared" si="3"/>
        <v>Добавить строку</v>
      </c>
      <c r="AY55" s="66"/>
      <c r="AZ55" s="66"/>
    </row>
    <row r="56" spans="1:52" s="65" customFormat="1" ht="0" hidden="1" customHeight="1">
      <c r="A56" s="142" t="s">
        <v>214</v>
      </c>
      <c r="B56" s="142" t="s">
        <v>215</v>
      </c>
      <c r="C56" s="142" t="s">
        <v>216</v>
      </c>
      <c r="D56" s="142" t="s">
        <v>217</v>
      </c>
      <c r="E56" s="1288"/>
      <c r="F56" s="1288"/>
      <c r="G56" s="1288"/>
      <c r="H56" s="1288"/>
      <c r="I56" s="1289"/>
      <c r="J56" s="142"/>
      <c r="K56" s="142"/>
      <c r="L56" s="355"/>
      <c r="M56" s="228"/>
      <c r="N56" s="228"/>
      <c r="O56" s="228"/>
      <c r="P56" s="1211"/>
      <c r="Q56" s="119"/>
      <c r="R56" s="214"/>
      <c r="S56" s="806"/>
      <c r="T56" s="807" t="s">
        <v>486</v>
      </c>
      <c r="U56" s="808"/>
      <c r="V56" s="808"/>
      <c r="W56" s="808"/>
      <c r="X56" s="808"/>
      <c r="Y56" s="808"/>
      <c r="Z56" s="808"/>
      <c r="AA56" s="808"/>
      <c r="AB56" s="808"/>
      <c r="AC56" s="808"/>
      <c r="AD56" s="808"/>
      <c r="AE56" s="808"/>
      <c r="AF56" s="808"/>
      <c r="AG56" s="808"/>
      <c r="AH56" s="808"/>
      <c r="AI56" s="808"/>
      <c r="AJ56" s="808"/>
      <c r="AK56" s="808"/>
      <c r="AL56" s="808"/>
      <c r="AM56" s="808"/>
      <c r="AN56" s="808"/>
      <c r="AO56" s="808"/>
      <c r="AP56" s="808"/>
      <c r="AQ56" s="808"/>
      <c r="AR56" s="808"/>
      <c r="AS56" s="808"/>
      <c r="AT56" s="808"/>
      <c r="AU56" s="809"/>
      <c r="AW56" s="66"/>
      <c r="AX56" s="66" t="str">
        <f t="shared" si="3"/>
        <v>Добавить группу потребителей</v>
      </c>
      <c r="AY56" s="66"/>
      <c r="AZ56" s="66"/>
    </row>
    <row r="57" spans="1:52" s="209" customFormat="1" ht="0" hidden="1" customHeight="1">
      <c r="A57" s="142" t="s">
        <v>214</v>
      </c>
      <c r="B57" s="142" t="s">
        <v>215</v>
      </c>
      <c r="C57" s="142" t="s">
        <v>216</v>
      </c>
      <c r="D57" s="142" t="s">
        <v>217</v>
      </c>
      <c r="E57" s="1288"/>
      <c r="F57" s="1288"/>
      <c r="G57" s="1288"/>
      <c r="H57" s="1287"/>
      <c r="I57" s="142"/>
      <c r="J57" s="142"/>
      <c r="K57" s="142"/>
      <c r="L57" s="355"/>
      <c r="M57" s="304"/>
      <c r="N57" s="304"/>
      <c r="O57" s="65"/>
      <c r="P57" s="101"/>
      <c r="Q57" s="780"/>
      <c r="R57" s="819"/>
      <c r="S57" s="806"/>
      <c r="T57" s="807"/>
      <c r="U57" s="808"/>
      <c r="V57" s="808"/>
      <c r="W57" s="808"/>
      <c r="X57" s="808"/>
      <c r="Y57" s="808"/>
      <c r="Z57" s="808"/>
      <c r="AA57" s="808"/>
      <c r="AB57" s="808"/>
      <c r="AC57" s="808"/>
      <c r="AD57" s="808"/>
      <c r="AE57" s="808"/>
      <c r="AF57" s="808"/>
      <c r="AG57" s="808"/>
      <c r="AH57" s="808"/>
      <c r="AI57" s="808"/>
      <c r="AJ57" s="808"/>
      <c r="AK57" s="808"/>
      <c r="AL57" s="808"/>
      <c r="AM57" s="808"/>
      <c r="AN57" s="808"/>
      <c r="AO57" s="808"/>
      <c r="AP57" s="808"/>
      <c r="AQ57" s="808"/>
      <c r="AR57" s="808"/>
      <c r="AS57" s="808"/>
      <c r="AT57" s="808"/>
      <c r="AU57" s="809"/>
      <c r="AV57" s="65"/>
      <c r="AW57" s="66"/>
      <c r="AX57" s="66" t="str">
        <f t="shared" si="3"/>
        <v/>
      </c>
      <c r="AY57" s="66"/>
      <c r="AZ57" s="66"/>
    </row>
    <row r="58" spans="1:52" s="65" customFormat="1" ht="0" hidden="1" customHeight="1">
      <c r="A58" s="142" t="s">
        <v>214</v>
      </c>
      <c r="B58" s="142" t="s">
        <v>215</v>
      </c>
      <c r="C58" s="142" t="s">
        <v>216</v>
      </c>
      <c r="D58" s="142"/>
      <c r="E58" s="1288"/>
      <c r="F58" s="1288"/>
      <c r="G58" s="1287"/>
      <c r="H58" s="142"/>
      <c r="I58" s="142"/>
      <c r="J58" s="142"/>
      <c r="K58" s="142"/>
      <c r="L58" s="355"/>
      <c r="M58" s="304"/>
      <c r="N58" s="304"/>
      <c r="P58" s="101"/>
      <c r="Q58" s="780"/>
      <c r="R58" s="101"/>
      <c r="S58" s="785"/>
      <c r="T58" s="787" t="s">
        <v>444</v>
      </c>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W58" s="66"/>
      <c r="AX58" s="66" t="str">
        <f t="shared" si="3"/>
        <v>Добавить источник для дифференциации</v>
      </c>
      <c r="AY58" s="66"/>
      <c r="AZ58" s="66"/>
    </row>
    <row r="59" spans="1:52" s="65" customFormat="1" ht="0" hidden="1" customHeight="1">
      <c r="A59" s="142" t="s">
        <v>214</v>
      </c>
      <c r="B59" s="142" t="s">
        <v>215</v>
      </c>
      <c r="C59" s="142"/>
      <c r="D59" s="142"/>
      <c r="E59" s="1288"/>
      <c r="F59" s="1287"/>
      <c r="G59" s="142"/>
      <c r="H59" s="142"/>
      <c r="I59" s="142"/>
      <c r="J59" s="142"/>
      <c r="K59" s="142"/>
      <c r="L59" s="355"/>
      <c r="M59" s="784"/>
      <c r="N59" s="784"/>
      <c r="P59" s="101"/>
      <c r="Q59" s="780"/>
      <c r="R59" s="101"/>
      <c r="S59" s="785"/>
      <c r="T59" s="787" t="s">
        <v>445</v>
      </c>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W59" s="66"/>
      <c r="AX59" s="66" t="str">
        <f t="shared" si="3"/>
        <v>Добавить централизованную систему для дифференциации</v>
      </c>
      <c r="AY59" s="66"/>
      <c r="AZ59" s="66"/>
    </row>
    <row r="60" spans="1:52" s="65" customFormat="1" ht="0" hidden="1" customHeight="1">
      <c r="A60" s="142" t="s">
        <v>214</v>
      </c>
      <c r="B60" s="142"/>
      <c r="C60" s="142"/>
      <c r="D60" s="142"/>
      <c r="E60" s="1288"/>
      <c r="F60" s="142"/>
      <c r="G60" s="142"/>
      <c r="H60" s="142"/>
      <c r="I60" s="142"/>
      <c r="J60" s="142"/>
      <c r="K60" s="142"/>
      <c r="L60" s="355"/>
      <c r="M60" s="784"/>
      <c r="N60" s="784"/>
      <c r="P60" s="101"/>
      <c r="Q60" s="780"/>
      <c r="R60" s="101"/>
      <c r="S60" s="785"/>
      <c r="T60" s="787" t="s">
        <v>446</v>
      </c>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W60" s="66"/>
      <c r="AX60" s="66" t="str">
        <f t="shared" si="3"/>
        <v>Добавить территорию для дифференциации</v>
      </c>
      <c r="AY60" s="66"/>
      <c r="AZ60" s="66"/>
    </row>
    <row r="61" spans="1:52" s="65" customFormat="1" ht="0" hidden="1" customHeight="1">
      <c r="A61" s="142" t="s">
        <v>214</v>
      </c>
      <c r="B61" s="142"/>
      <c r="C61" s="142"/>
      <c r="D61" s="142"/>
      <c r="E61" s="1287"/>
      <c r="F61" s="142"/>
      <c r="G61" s="142"/>
      <c r="H61" s="142"/>
      <c r="I61" s="142"/>
      <c r="J61" s="142"/>
      <c r="K61" s="142"/>
      <c r="L61" s="355"/>
      <c r="M61" s="784"/>
      <c r="N61" s="784"/>
      <c r="P61" s="101"/>
      <c r="Q61" s="780"/>
      <c r="R61" s="101"/>
      <c r="S61" s="785"/>
      <c r="T61" s="787" t="s">
        <v>446</v>
      </c>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W61" s="66"/>
      <c r="AX61" s="66" t="str">
        <f t="shared" si="3"/>
        <v>Добавить территорию для дифференциации</v>
      </c>
      <c r="AY61" s="66"/>
      <c r="AZ61" s="66"/>
    </row>
    <row r="62" spans="1:52" s="65" customFormat="1" ht="0" hidden="1" customHeight="1">
      <c r="A62" s="142"/>
      <c r="B62" s="142"/>
      <c r="C62" s="142"/>
      <c r="D62" s="142"/>
      <c r="E62" s="142"/>
      <c r="F62" s="142"/>
      <c r="G62" s="142"/>
      <c r="H62" s="142"/>
      <c r="I62" s="142"/>
      <c r="J62" s="142"/>
      <c r="K62" s="142"/>
      <c r="L62" s="355"/>
      <c r="M62" s="784"/>
      <c r="N62" s="784"/>
      <c r="P62" s="101"/>
      <c r="Q62" s="780"/>
      <c r="R62" s="101"/>
      <c r="S62" s="785"/>
      <c r="T62" s="787" t="s">
        <v>447</v>
      </c>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W62" s="66"/>
      <c r="AX62" s="66" t="str">
        <f t="shared" si="3"/>
        <v>Добавить наименование тарифа</v>
      </c>
      <c r="AY62" s="66"/>
      <c r="AZ62" s="66"/>
    </row>
    <row r="63" spans="1:52" ht="11.25" hidden="1" customHeight="1">
      <c r="M63" s="60"/>
      <c r="N63" s="60"/>
      <c r="O63" s="60"/>
      <c r="P63" s="60"/>
      <c r="Q63" s="60"/>
      <c r="R63" s="9"/>
      <c r="S63" s="9"/>
      <c r="AV63" s="9"/>
      <c r="AW63" s="9"/>
      <c r="AX63" s="9"/>
      <c r="AY63" s="9"/>
      <c r="AZ63" s="9"/>
    </row>
    <row r="64" spans="1:52" ht="18.75" hidden="1" customHeight="1">
      <c r="O64" s="60"/>
      <c r="S64" s="204" t="s">
        <v>519</v>
      </c>
      <c r="T64" s="1286" t="s">
        <v>565</v>
      </c>
      <c r="U64" s="1286"/>
      <c r="V64" s="1286"/>
      <c r="W64" s="1286"/>
      <c r="X64" s="1286"/>
      <c r="Y64" s="1286"/>
      <c r="Z64" s="1286"/>
      <c r="AA64" s="1286"/>
      <c r="AB64" s="1286"/>
      <c r="AC64" s="1286"/>
      <c r="AD64" s="1286"/>
      <c r="AE64" s="1286"/>
      <c r="AF64" s="1286"/>
      <c r="AG64" s="1286"/>
      <c r="AH64" s="1286"/>
      <c r="AI64" s="1286"/>
      <c r="AJ64" s="1286"/>
      <c r="AK64" s="1286"/>
      <c r="AL64" s="1286"/>
      <c r="AM64" s="1286"/>
      <c r="AN64" s="1286"/>
      <c r="AO64" s="1286"/>
      <c r="AP64" s="1286"/>
      <c r="AQ64" s="1286"/>
      <c r="AR64" s="1286"/>
      <c r="AS64" s="1286"/>
      <c r="AT64" s="1286"/>
      <c r="AU64" s="1286"/>
    </row>
    <row r="65" spans="15:47" ht="19.5" hidden="1" customHeight="1">
      <c r="O65" s="60"/>
      <c r="T65" s="1286" t="s">
        <v>545</v>
      </c>
      <c r="U65" s="1286"/>
      <c r="V65" s="1286"/>
      <c r="W65" s="1286"/>
      <c r="X65" s="1286"/>
      <c r="Y65" s="1286"/>
      <c r="Z65" s="1286"/>
      <c r="AA65" s="1286"/>
      <c r="AB65" s="1286"/>
      <c r="AC65" s="1286"/>
      <c r="AD65" s="1286"/>
      <c r="AE65" s="1286"/>
      <c r="AF65" s="1286"/>
      <c r="AG65" s="1286"/>
      <c r="AH65" s="1286"/>
      <c r="AI65" s="1286"/>
      <c r="AJ65" s="1286"/>
      <c r="AK65" s="1286"/>
      <c r="AL65" s="1286"/>
      <c r="AM65" s="1286"/>
      <c r="AN65" s="1286"/>
      <c r="AO65" s="1286"/>
      <c r="AP65" s="1286"/>
      <c r="AQ65" s="1286"/>
      <c r="AR65" s="1286"/>
      <c r="AS65" s="1286"/>
      <c r="AT65" s="1286"/>
      <c r="AU65" s="1286"/>
    </row>
    <row r="66" spans="15:47" ht="14.25" hidden="1"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row>
    <row r="67" spans="15:47" ht="18.75" hidden="1" customHeight="1">
      <c r="O67" s="60"/>
      <c r="T67" s="1286" t="s">
        <v>566</v>
      </c>
      <c r="U67" s="1286"/>
      <c r="V67" s="1286"/>
      <c r="W67" s="1286"/>
      <c r="X67" s="1286"/>
      <c r="Y67" s="1286"/>
      <c r="Z67" s="1286"/>
      <c r="AA67" s="1286"/>
      <c r="AB67" s="1286"/>
      <c r="AC67" s="1286"/>
      <c r="AD67" s="1286"/>
      <c r="AE67" s="1286"/>
      <c r="AF67" s="1286"/>
      <c r="AG67" s="1286"/>
      <c r="AH67" s="1286"/>
      <c r="AI67" s="1286"/>
      <c r="AJ67" s="1286"/>
      <c r="AK67" s="1286"/>
      <c r="AL67" s="1286"/>
      <c r="AM67" s="1286"/>
      <c r="AN67" s="1286"/>
      <c r="AO67" s="1286"/>
      <c r="AP67" s="1286"/>
      <c r="AQ67" s="1286"/>
      <c r="AR67" s="1286"/>
      <c r="AS67" s="1286"/>
      <c r="AT67" s="1286"/>
      <c r="AU67" s="1286"/>
    </row>
    <row r="68" spans="15:47" ht="15.75" hidden="1" customHeight="1">
      <c r="O68" s="60"/>
      <c r="T68" s="1286" t="s">
        <v>545</v>
      </c>
      <c r="U68" s="1286"/>
      <c r="V68" s="1286"/>
      <c r="W68" s="1286"/>
      <c r="X68" s="1286"/>
      <c r="Y68" s="1286"/>
      <c r="Z68" s="1286"/>
      <c r="AA68" s="1286"/>
      <c r="AB68" s="1286"/>
      <c r="AC68" s="1286"/>
      <c r="AD68" s="1286"/>
      <c r="AE68" s="1286"/>
      <c r="AF68" s="1286"/>
      <c r="AG68" s="1286"/>
      <c r="AH68" s="1286"/>
      <c r="AI68" s="1286"/>
      <c r="AJ68" s="1286"/>
      <c r="AK68" s="1286"/>
      <c r="AL68" s="1286"/>
      <c r="AM68" s="1286"/>
      <c r="AN68" s="1286"/>
      <c r="AO68" s="1286"/>
      <c r="AP68" s="1286"/>
      <c r="AQ68" s="1286"/>
      <c r="AR68" s="1286"/>
      <c r="AS68" s="1286"/>
      <c r="AT68" s="1286"/>
      <c r="AU68" s="1286"/>
    </row>
    <row r="69" spans="15:47" ht="14.25" customHeight="1">
      <c r="O69" s="60"/>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3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B6709-C1A1-A3BB-73D1-6CC83DB5D497}">
  <sheetPr>
    <tabColor rgb="FFFFCC99"/>
  </sheetPr>
  <dimension ref="A1:CD118"/>
  <sheetViews>
    <sheetView showGridLines="0" workbookViewId="0"/>
  </sheetViews>
  <sheetFormatPr defaultColWidth="9.140625" defaultRowHeight="11.25" customHeight="1"/>
  <cols>
    <col min="1" max="1" width="32.5703125" style="220" customWidth="1"/>
    <col min="2" max="2" width="11" customWidth="1"/>
    <col min="4" max="4" width="26.5703125" customWidth="1"/>
    <col min="5" max="5" width="27.7109375" style="2" customWidth="1"/>
    <col min="6" max="6" width="23.5703125" style="2" customWidth="1"/>
    <col min="7" max="7" width="31.42578125" style="2" customWidth="1"/>
    <col min="8" max="8" width="40.85546875" style="2" customWidth="1"/>
    <col min="9" max="9" width="14.5703125" style="2" customWidth="1"/>
    <col min="10" max="10" width="26.85546875" style="2" customWidth="1"/>
    <col min="11" max="11" width="50" style="2" customWidth="1"/>
    <col min="12" max="13" width="10.7109375" style="2" customWidth="1"/>
    <col min="14" max="14" width="55.140625" style="2" customWidth="1"/>
    <col min="15" max="15" width="31.85546875" style="2" customWidth="1"/>
    <col min="16" max="16" width="23.85546875" style="2" customWidth="1"/>
    <col min="17" max="17" width="46.5703125" style="2" customWidth="1"/>
    <col min="18" max="18" width="24" style="2" customWidth="1"/>
    <col min="19" max="19" width="20.5703125" style="2" customWidth="1"/>
    <col min="20" max="20" width="22" style="2" customWidth="1"/>
    <col min="21" max="22" width="26.42578125" style="2" customWidth="1"/>
    <col min="23" max="23" width="8.28515625" style="2" hidden="1" customWidth="1"/>
    <col min="24" max="24" width="59.7109375" style="2" customWidth="1"/>
    <col min="25" max="25" width="49.140625" style="2" customWidth="1"/>
    <col min="26" max="26" width="11.140625" style="2" customWidth="1"/>
    <col min="27" max="30" width="29" style="2" customWidth="1"/>
    <col min="31" max="31" width="9.140625" style="2"/>
    <col min="32" max="32" width="34.7109375" style="2" customWidth="1"/>
    <col min="33" max="33" width="9.140625" style="2"/>
    <col min="34" max="35" width="34.42578125" style="2" customWidth="1"/>
    <col min="36" max="36" width="9.140625" style="2"/>
    <col min="37" max="37" width="24.5703125" style="2" customWidth="1"/>
    <col min="38" max="38" width="9.140625" style="2"/>
    <col min="39" max="39" width="26.140625" style="2" customWidth="1"/>
    <col min="40" max="40" width="1.7109375" style="2" customWidth="1"/>
    <col min="41" max="41" width="9.140625" style="2"/>
    <col min="42" max="43" width="47.85546875" style="2" customWidth="1"/>
    <col min="44" max="44" width="1.7109375" style="2" customWidth="1"/>
    <col min="45" max="45" width="21.42578125" style="2" customWidth="1"/>
    <col min="46" max="46" width="1.7109375" style="2" customWidth="1"/>
    <col min="47" max="47" width="31.28515625" style="2" customWidth="1"/>
    <col min="48" max="48" width="1.7109375" style="2" customWidth="1"/>
    <col min="49" max="50" width="9.140625" style="2"/>
    <col min="51" max="51" width="3.7109375" style="2" customWidth="1"/>
    <col min="52" max="52" width="55" style="2" customWidth="1"/>
    <col min="53" max="53" width="9.140625" style="2"/>
    <col min="54" max="54" width="35.140625" style="2" customWidth="1"/>
    <col min="55" max="55" width="9.140625" style="2"/>
    <col min="56" max="56" width="1.7109375" style="2" customWidth="1"/>
    <col min="57" max="57" width="12.5703125" style="641" customWidth="1"/>
    <col min="58" max="58" width="14.28515625" style="641" customWidth="1"/>
    <col min="59" max="59" width="30.7109375" style="2" customWidth="1"/>
    <col min="60" max="60" width="40.7109375" style="191" customWidth="1"/>
    <col min="61" max="61" width="15" style="191" customWidth="1"/>
    <col min="62" max="62" width="40.7109375" style="191" customWidth="1"/>
    <col min="63" max="63" width="2.7109375" style="191" customWidth="1"/>
    <col min="64" max="64" width="44.7109375" style="191" customWidth="1"/>
    <col min="65" max="65" width="2.7109375" style="191" customWidth="1"/>
    <col min="66" max="66" width="40.7109375" style="191" customWidth="1"/>
    <col min="67" max="68" width="9.140625" style="2"/>
    <col min="69" max="69" width="18.140625" style="2" customWidth="1"/>
    <col min="70" max="70" width="57.85546875" style="2" customWidth="1"/>
    <col min="71" max="71" width="1.7109375" style="2" customWidth="1"/>
    <col min="72" max="72" width="22.5703125" style="2" customWidth="1"/>
    <col min="73" max="73" width="57.85546875" style="2" customWidth="1"/>
    <col min="74" max="74" width="1.7109375" style="2" customWidth="1"/>
    <col min="75" max="75" width="22.5703125" style="2" customWidth="1"/>
    <col min="76" max="76" width="57.85546875" style="2" customWidth="1"/>
    <col min="77" max="77" width="1.7109375" style="2" customWidth="1"/>
    <col min="78" max="78" width="22.5703125" style="2" customWidth="1"/>
    <col min="79" max="79" width="57.85546875" style="2" customWidth="1"/>
    <col min="80" max="81" width="9.140625" style="2"/>
    <col min="82" max="82" width="49.5703125" style="2" customWidth="1"/>
  </cols>
  <sheetData>
    <row r="1" spans="1:79" s="51" customFormat="1" ht="11.25" customHeight="1">
      <c r="A1" s="642" t="s">
        <v>567</v>
      </c>
      <c r="B1" s="642" t="s">
        <v>568</v>
      </c>
      <c r="C1" s="642" t="s">
        <v>569</v>
      </c>
      <c r="D1" s="642" t="s">
        <v>570</v>
      </c>
      <c r="E1" s="642" t="s">
        <v>571</v>
      </c>
      <c r="F1" s="642" t="s">
        <v>572</v>
      </c>
      <c r="G1" s="642" t="s">
        <v>573</v>
      </c>
      <c r="H1" s="642" t="s">
        <v>574</v>
      </c>
      <c r="I1" s="642" t="s">
        <v>575</v>
      </c>
      <c r="J1" s="642" t="s">
        <v>576</v>
      </c>
      <c r="K1" s="642" t="s">
        <v>577</v>
      </c>
      <c r="L1" s="642"/>
      <c r="M1" s="642"/>
      <c r="N1" s="642" t="s">
        <v>578</v>
      </c>
      <c r="O1" s="642" t="s">
        <v>579</v>
      </c>
      <c r="P1" s="642" t="s">
        <v>580</v>
      </c>
      <c r="Q1" s="642" t="s">
        <v>581</v>
      </c>
      <c r="R1" s="642" t="s">
        <v>582</v>
      </c>
      <c r="S1" s="642" t="s">
        <v>583</v>
      </c>
      <c r="T1" s="642" t="s">
        <v>584</v>
      </c>
      <c r="U1" s="642" t="s">
        <v>585</v>
      </c>
      <c r="V1" s="642"/>
      <c r="W1" s="472" t="s">
        <v>586</v>
      </c>
      <c r="X1" s="642" t="s">
        <v>587</v>
      </c>
      <c r="Y1" s="642" t="s">
        <v>588</v>
      </c>
      <c r="Z1" s="642"/>
      <c r="AA1" s="642" t="s">
        <v>589</v>
      </c>
      <c r="AB1" s="642"/>
      <c r="AC1" s="642" t="s">
        <v>590</v>
      </c>
      <c r="AD1" s="642"/>
      <c r="AF1" s="642" t="s">
        <v>591</v>
      </c>
      <c r="AH1" s="642" t="s">
        <v>592</v>
      </c>
      <c r="AI1" s="642" t="s">
        <v>593</v>
      </c>
      <c r="AK1" s="642" t="s">
        <v>594</v>
      </c>
      <c r="AM1" s="642" t="s">
        <v>595</v>
      </c>
      <c r="AP1" s="642" t="s">
        <v>596</v>
      </c>
      <c r="AQ1" s="642" t="s">
        <v>597</v>
      </c>
      <c r="AS1" s="642" t="s">
        <v>598</v>
      </c>
      <c r="AU1" s="642" t="s">
        <v>599</v>
      </c>
      <c r="AW1" s="642" t="s">
        <v>600</v>
      </c>
      <c r="AX1" s="642" t="s">
        <v>601</v>
      </c>
      <c r="AZ1" s="682" t="s">
        <v>602</v>
      </c>
      <c r="BB1" s="642" t="s">
        <v>603</v>
      </c>
      <c r="BC1" s="642"/>
      <c r="BE1" s="642" t="s">
        <v>604</v>
      </c>
      <c r="BF1" s="642" t="s">
        <v>605</v>
      </c>
      <c r="BH1" s="644" t="s">
        <v>606</v>
      </c>
      <c r="BI1" s="191"/>
      <c r="BJ1" s="645" t="s">
        <v>607</v>
      </c>
      <c r="BK1" s="191"/>
      <c r="BL1" s="646" t="s">
        <v>608</v>
      </c>
      <c r="BM1" s="191"/>
      <c r="BN1" s="647" t="s">
        <v>609</v>
      </c>
    </row>
    <row r="2" spans="1:79" ht="11.25" customHeight="1">
      <c r="A2" s="2" t="s">
        <v>610</v>
      </c>
      <c r="B2" s="648">
        <v>2000</v>
      </c>
      <c r="C2" s="648">
        <v>2022</v>
      </c>
      <c r="D2" s="648" t="s">
        <v>59</v>
      </c>
      <c r="E2" s="649" t="s">
        <v>611</v>
      </c>
      <c r="F2" s="649" t="s">
        <v>612</v>
      </c>
      <c r="G2" s="649" t="s">
        <v>613</v>
      </c>
      <c r="H2" s="649" t="s">
        <v>55</v>
      </c>
      <c r="I2" s="649" t="s">
        <v>119</v>
      </c>
      <c r="J2" s="649" t="s">
        <v>614</v>
      </c>
      <c r="K2" s="174" t="s">
        <v>615</v>
      </c>
      <c r="L2" s="174" t="s">
        <v>615</v>
      </c>
      <c r="M2" s="174">
        <v>1</v>
      </c>
      <c r="N2" s="684" t="s">
        <v>616</v>
      </c>
      <c r="O2" s="649" t="s">
        <v>617</v>
      </c>
      <c r="P2" s="650" t="s">
        <v>34</v>
      </c>
      <c r="Q2" s="651" t="s">
        <v>618</v>
      </c>
      <c r="R2" s="58" t="s">
        <v>619</v>
      </c>
      <c r="S2" s="58" t="s">
        <v>620</v>
      </c>
      <c r="T2" s="652" t="s">
        <v>621</v>
      </c>
      <c r="U2" s="174" t="s">
        <v>622</v>
      </c>
      <c r="V2" s="653">
        <v>1</v>
      </c>
      <c r="W2" s="654"/>
      <c r="X2" s="654" t="s">
        <v>623</v>
      </c>
      <c r="Y2" s="648" t="s">
        <v>624</v>
      </c>
      <c r="Z2" s="655"/>
      <c r="AA2" s="648" t="s">
        <v>625</v>
      </c>
      <c r="AB2" s="656" t="s">
        <v>625</v>
      </c>
      <c r="AC2" s="648" t="s">
        <v>626</v>
      </c>
      <c r="AD2" s="656" t="s">
        <v>626</v>
      </c>
      <c r="AF2" s="649" t="s">
        <v>622</v>
      </c>
      <c r="AH2" s="649" t="s">
        <v>627</v>
      </c>
      <c r="AI2" s="649" t="s">
        <v>627</v>
      </c>
      <c r="AK2" s="649" t="s">
        <v>628</v>
      </c>
      <c r="AM2" s="649" t="s">
        <v>629</v>
      </c>
      <c r="AP2" s="31" t="s">
        <v>623</v>
      </c>
      <c r="AQ2" s="657" t="s">
        <v>623</v>
      </c>
      <c r="AS2" s="648" t="s">
        <v>630</v>
      </c>
      <c r="AU2" s="677" t="s">
        <v>631</v>
      </c>
      <c r="AW2" s="677" t="s">
        <v>632</v>
      </c>
      <c r="AX2" s="677" t="s">
        <v>632</v>
      </c>
      <c r="AZ2" s="677" t="s">
        <v>633</v>
      </c>
      <c r="BB2" s="677" t="s">
        <v>634</v>
      </c>
      <c r="BC2" s="677" t="s">
        <v>635</v>
      </c>
      <c r="BE2" s="677">
        <v>2000</v>
      </c>
      <c r="BF2" s="677" t="s">
        <v>636</v>
      </c>
    </row>
    <row r="3" spans="1:79" ht="11.25" customHeight="1">
      <c r="A3" s="2" t="s">
        <v>637</v>
      </c>
      <c r="B3" s="648">
        <v>2001</v>
      </c>
      <c r="C3" s="648">
        <v>2023</v>
      </c>
      <c r="D3" s="648" t="s">
        <v>57</v>
      </c>
      <c r="E3" s="649" t="s">
        <v>638</v>
      </c>
      <c r="F3" s="649" t="s">
        <v>639</v>
      </c>
      <c r="G3" s="649" t="s">
        <v>640</v>
      </c>
      <c r="H3" s="649" t="s">
        <v>641</v>
      </c>
      <c r="I3" s="649" t="s">
        <v>103</v>
      </c>
      <c r="J3" s="649" t="s">
        <v>642</v>
      </c>
      <c r="K3" s="174" t="s">
        <v>643</v>
      </c>
      <c r="L3" s="174" t="s">
        <v>643</v>
      </c>
      <c r="M3" s="174">
        <v>2</v>
      </c>
      <c r="N3" s="684" t="s">
        <v>644</v>
      </c>
      <c r="O3" s="649" t="s">
        <v>645</v>
      </c>
      <c r="P3" s="650" t="s">
        <v>646</v>
      </c>
      <c r="Q3" s="651" t="s">
        <v>647</v>
      </c>
      <c r="R3" s="58" t="s">
        <v>648</v>
      </c>
      <c r="S3" s="58" t="s">
        <v>649</v>
      </c>
      <c r="T3" s="652" t="s">
        <v>650</v>
      </c>
      <c r="U3" s="174" t="s">
        <v>651</v>
      </c>
      <c r="V3" s="653">
        <v>2</v>
      </c>
      <c r="W3" s="654"/>
      <c r="X3" s="654" t="s">
        <v>652</v>
      </c>
      <c r="Y3" s="648" t="s">
        <v>624</v>
      </c>
      <c r="Z3" s="655"/>
      <c r="AA3" s="648" t="s">
        <v>653</v>
      </c>
      <c r="AB3" s="656" t="s">
        <v>653</v>
      </c>
      <c r="AC3" s="648" t="s">
        <v>654</v>
      </c>
      <c r="AD3" s="656" t="s">
        <v>654</v>
      </c>
      <c r="AF3" s="649" t="s">
        <v>651</v>
      </c>
      <c r="AH3" s="649" t="s">
        <v>655</v>
      </c>
      <c r="AI3" s="649" t="s">
        <v>656</v>
      </c>
      <c r="AK3" s="649" t="s">
        <v>657</v>
      </c>
      <c r="AM3" s="649" t="s">
        <v>658</v>
      </c>
      <c r="AP3" s="31" t="s">
        <v>659</v>
      </c>
      <c r="AQ3" s="657" t="s">
        <v>659</v>
      </c>
      <c r="AS3" s="648" t="s">
        <v>660</v>
      </c>
      <c r="AU3" s="677" t="s">
        <v>661</v>
      </c>
      <c r="AW3" s="677" t="s">
        <v>662</v>
      </c>
      <c r="AX3" s="677" t="s">
        <v>662</v>
      </c>
      <c r="AZ3" s="677" t="s">
        <v>663</v>
      </c>
      <c r="BB3" s="677" t="s">
        <v>664</v>
      </c>
      <c r="BC3" s="677" t="s">
        <v>635</v>
      </c>
      <c r="BE3" s="677">
        <v>2001</v>
      </c>
      <c r="BF3" s="677" t="s">
        <v>665</v>
      </c>
      <c r="BH3" s="642" t="s">
        <v>666</v>
      </c>
      <c r="BJ3" s="642" t="s">
        <v>667</v>
      </c>
      <c r="BL3" s="642" t="s">
        <v>668</v>
      </c>
      <c r="BN3" s="642" t="s">
        <v>669</v>
      </c>
      <c r="BR3" s="642" t="s">
        <v>670</v>
      </c>
      <c r="BS3" s="829"/>
      <c r="BT3" s="191"/>
      <c r="BU3" s="642" t="s">
        <v>671</v>
      </c>
      <c r="BV3" s="191"/>
      <c r="BW3"/>
      <c r="BX3" s="642" t="s">
        <v>672</v>
      </c>
      <c r="CA3" s="642" t="s">
        <v>673</v>
      </c>
    </row>
    <row r="4" spans="1:79" ht="11.25" customHeight="1">
      <c r="A4" s="2" t="s">
        <v>674</v>
      </c>
      <c r="B4" s="648">
        <v>2002</v>
      </c>
      <c r="C4" s="648">
        <v>2024</v>
      </c>
      <c r="E4" s="649" t="s">
        <v>675</v>
      </c>
      <c r="F4" s="649" t="s">
        <v>31</v>
      </c>
      <c r="H4" s="649" t="s">
        <v>676</v>
      </c>
      <c r="I4" s="649" t="s">
        <v>90</v>
      </c>
      <c r="J4" s="649" t="s">
        <v>677</v>
      </c>
      <c r="K4" s="174" t="s">
        <v>678</v>
      </c>
      <c r="L4" s="174" t="s">
        <v>678</v>
      </c>
      <c r="M4" s="174">
        <v>3</v>
      </c>
      <c r="N4" s="684" t="s">
        <v>679</v>
      </c>
      <c r="O4" s="649" t="s">
        <v>680</v>
      </c>
      <c r="Q4" s="651" t="s">
        <v>681</v>
      </c>
      <c r="R4" s="58" t="s">
        <v>682</v>
      </c>
      <c r="S4" s="58" t="s">
        <v>683</v>
      </c>
      <c r="T4" s="652" t="s">
        <v>684</v>
      </c>
      <c r="U4" s="174" t="s">
        <v>685</v>
      </c>
      <c r="V4" s="653">
        <v>3</v>
      </c>
      <c r="W4" s="654"/>
      <c r="X4" s="654" t="s">
        <v>686</v>
      </c>
      <c r="Y4" s="648" t="s">
        <v>624</v>
      </c>
      <c r="Z4" s="15"/>
      <c r="AC4" s="648" t="s">
        <v>687</v>
      </c>
      <c r="AD4" s="656" t="s">
        <v>687</v>
      </c>
      <c r="AF4" s="649" t="s">
        <v>685</v>
      </c>
      <c r="AH4" s="649" t="s">
        <v>688</v>
      </c>
      <c r="AK4" s="649" t="s">
        <v>689</v>
      </c>
      <c r="AM4" s="649" t="s">
        <v>690</v>
      </c>
      <c r="AP4" s="31" t="s">
        <v>652</v>
      </c>
      <c r="AQ4" s="657" t="s">
        <v>652</v>
      </c>
      <c r="AS4" s="648" t="s">
        <v>691</v>
      </c>
      <c r="AU4" s="677" t="s">
        <v>692</v>
      </c>
      <c r="AW4" s="677" t="s">
        <v>693</v>
      </c>
      <c r="AX4" s="677" t="s">
        <v>693</v>
      </c>
      <c r="AZ4" s="677" t="s">
        <v>694</v>
      </c>
      <c r="BB4" s="677" t="s">
        <v>695</v>
      </c>
      <c r="BC4" s="677" t="s">
        <v>696</v>
      </c>
      <c r="BE4" s="677">
        <v>2002</v>
      </c>
      <c r="BF4" s="677" t="s">
        <v>697</v>
      </c>
      <c r="BH4" s="643" t="s">
        <v>698</v>
      </c>
      <c r="BJ4" s="643" t="s">
        <v>698</v>
      </c>
      <c r="BL4" s="643" t="s">
        <v>698</v>
      </c>
      <c r="BN4" s="643" t="s">
        <v>698</v>
      </c>
      <c r="BQ4" s="831" t="s">
        <v>699</v>
      </c>
      <c r="BR4" s="31" t="s">
        <v>700</v>
      </c>
      <c r="BS4" s="31"/>
      <c r="BT4" s="831" t="s">
        <v>701</v>
      </c>
      <c r="BU4" s="31" t="s">
        <v>702</v>
      </c>
      <c r="BV4" s="191"/>
      <c r="BW4" s="831" t="s">
        <v>703</v>
      </c>
      <c r="BX4" s="31" t="s">
        <v>704</v>
      </c>
      <c r="BZ4" s="831" t="s">
        <v>705</v>
      </c>
      <c r="CA4" s="31" t="s">
        <v>706</v>
      </c>
    </row>
    <row r="5" spans="1:79" ht="11.25" customHeight="1">
      <c r="A5" s="2" t="s">
        <v>707</v>
      </c>
      <c r="B5" s="648">
        <v>2003</v>
      </c>
      <c r="C5" s="648">
        <v>2025</v>
      </c>
      <c r="E5" s="649" t="s">
        <v>708</v>
      </c>
      <c r="F5" s="649" t="s">
        <v>709</v>
      </c>
      <c r="H5" s="649" t="s">
        <v>710</v>
      </c>
      <c r="I5" s="649" t="s">
        <v>91</v>
      </c>
      <c r="K5" s="174" t="s">
        <v>711</v>
      </c>
      <c r="L5" s="174" t="s">
        <v>711</v>
      </c>
      <c r="M5" s="174">
        <v>4</v>
      </c>
      <c r="N5" s="659" t="s">
        <v>712</v>
      </c>
      <c r="O5" s="649" t="s">
        <v>713</v>
      </c>
      <c r="Q5" s="651" t="s">
        <v>714</v>
      </c>
      <c r="R5" s="58" t="s">
        <v>715</v>
      </c>
      <c r="T5" s="649" t="s">
        <v>716</v>
      </c>
      <c r="U5" s="174" t="s">
        <v>717</v>
      </c>
      <c r="V5" s="653">
        <v>4</v>
      </c>
      <c r="W5" s="654"/>
      <c r="X5" s="654" t="s">
        <v>182</v>
      </c>
      <c r="Y5" s="648" t="s">
        <v>718</v>
      </c>
      <c r="Z5" s="15">
        <v>1</v>
      </c>
      <c r="AF5" s="649" t="s">
        <v>719</v>
      </c>
      <c r="AH5" s="649" t="s">
        <v>720</v>
      </c>
      <c r="AK5" s="649" t="s">
        <v>721</v>
      </c>
      <c r="AM5" s="649" t="s">
        <v>722</v>
      </c>
      <c r="AP5" s="31" t="s">
        <v>182</v>
      </c>
      <c r="AQ5" s="657" t="s">
        <v>182</v>
      </c>
      <c r="AU5" s="677" t="s">
        <v>723</v>
      </c>
      <c r="AW5" s="677" t="s">
        <v>724</v>
      </c>
      <c r="AX5" s="677" t="s">
        <v>724</v>
      </c>
      <c r="AZ5" s="677" t="s">
        <v>725</v>
      </c>
      <c r="BB5" s="677" t="s">
        <v>726</v>
      </c>
      <c r="BC5" s="677" t="s">
        <v>727</v>
      </c>
      <c r="BE5" s="677">
        <v>2003</v>
      </c>
      <c r="BF5" s="677" t="s">
        <v>728</v>
      </c>
      <c r="BH5" s="643" t="s">
        <v>729</v>
      </c>
      <c r="BJ5" s="643" t="s">
        <v>729</v>
      </c>
      <c r="BL5" s="643" t="s">
        <v>729</v>
      </c>
      <c r="BN5" s="643" t="s">
        <v>730</v>
      </c>
      <c r="BQ5" s="677">
        <v>4213775</v>
      </c>
      <c r="BR5" s="643" t="s">
        <v>623</v>
      </c>
      <c r="BS5" s="765"/>
      <c r="BT5" s="677">
        <v>64236871</v>
      </c>
      <c r="BU5" s="643" t="s">
        <v>231</v>
      </c>
      <c r="BV5" s="191"/>
      <c r="BW5" s="677">
        <v>4213767</v>
      </c>
      <c r="BX5" s="643" t="s">
        <v>731</v>
      </c>
      <c r="BZ5" s="677">
        <v>64237509</v>
      </c>
      <c r="CA5" s="770" t="s">
        <v>732</v>
      </c>
    </row>
    <row r="6" spans="1:79" ht="11.25" customHeight="1">
      <c r="A6" s="2" t="s">
        <v>733</v>
      </c>
      <c r="B6" s="648">
        <v>2004</v>
      </c>
      <c r="C6" s="648">
        <v>2026</v>
      </c>
      <c r="E6" s="649" t="s">
        <v>734</v>
      </c>
      <c r="F6" s="33"/>
      <c r="H6" s="649" t="s">
        <v>735</v>
      </c>
      <c r="I6" s="649" t="s">
        <v>120</v>
      </c>
      <c r="J6" s="642" t="s">
        <v>736</v>
      </c>
      <c r="N6" s="659" t="s">
        <v>737</v>
      </c>
      <c r="O6" s="649" t="s">
        <v>738</v>
      </c>
      <c r="R6" s="58" t="s">
        <v>618</v>
      </c>
      <c r="T6" s="649" t="s">
        <v>739</v>
      </c>
      <c r="U6" s="174" t="s">
        <v>719</v>
      </c>
      <c r="V6" s="653">
        <v>5</v>
      </c>
      <c r="W6" s="654"/>
      <c r="X6" s="648" t="s">
        <v>188</v>
      </c>
      <c r="Y6" s="648" t="s">
        <v>740</v>
      </c>
      <c r="Z6" s="15"/>
      <c r="AA6" s="203"/>
      <c r="AH6" s="649" t="s">
        <v>741</v>
      </c>
      <c r="AK6" s="649" t="s">
        <v>742</v>
      </c>
      <c r="AM6" s="649" t="s">
        <v>743</v>
      </c>
      <c r="AP6" s="31" t="s">
        <v>188</v>
      </c>
      <c r="AQ6" s="657" t="s">
        <v>188</v>
      </c>
      <c r="AU6" s="677" t="s">
        <v>744</v>
      </c>
      <c r="AW6" s="677" t="s">
        <v>745</v>
      </c>
      <c r="AX6" s="677" t="s">
        <v>745</v>
      </c>
      <c r="BB6" s="677" t="s">
        <v>746</v>
      </c>
      <c r="BC6" s="677" t="s">
        <v>727</v>
      </c>
      <c r="BE6" s="677">
        <v>2004</v>
      </c>
      <c r="BF6" s="677" t="s">
        <v>747</v>
      </c>
      <c r="BH6" s="643" t="s">
        <v>748</v>
      </c>
      <c r="BJ6" s="643" t="s">
        <v>749</v>
      </c>
      <c r="BL6" s="643" t="s">
        <v>749</v>
      </c>
      <c r="BN6" s="643" t="s">
        <v>750</v>
      </c>
      <c r="BQ6" s="677">
        <v>4213784</v>
      </c>
      <c r="BR6" s="770" t="s">
        <v>659</v>
      </c>
      <c r="BS6" s="830"/>
      <c r="BT6" s="677">
        <v>64236872</v>
      </c>
      <c r="BU6" s="643" t="s">
        <v>236</v>
      </c>
      <c r="BV6" s="191"/>
      <c r="BW6" s="677">
        <v>4213768</v>
      </c>
      <c r="BX6" s="643" t="s">
        <v>256</v>
      </c>
      <c r="BZ6" s="677">
        <v>64237510</v>
      </c>
      <c r="CA6" s="643" t="s">
        <v>751</v>
      </c>
    </row>
    <row r="7" spans="1:79" ht="11.25" customHeight="1">
      <c r="A7" s="2" t="s">
        <v>752</v>
      </c>
      <c r="B7" s="648">
        <v>2005</v>
      </c>
      <c r="E7" s="649" t="s">
        <v>753</v>
      </c>
      <c r="F7" s="33"/>
      <c r="H7" s="649" t="s">
        <v>754</v>
      </c>
      <c r="I7" s="649" t="s">
        <v>92</v>
      </c>
      <c r="J7" s="649" t="s">
        <v>755</v>
      </c>
      <c r="N7" s="447" t="s">
        <v>756</v>
      </c>
      <c r="O7" s="649" t="s">
        <v>757</v>
      </c>
      <c r="U7" s="174" t="s">
        <v>57</v>
      </c>
      <c r="V7" s="222" t="s">
        <v>92</v>
      </c>
      <c r="W7" s="654"/>
      <c r="X7" s="648" t="s">
        <v>194</v>
      </c>
      <c r="Y7" s="648" t="s">
        <v>718</v>
      </c>
      <c r="Z7" s="15"/>
      <c r="AA7" s="203"/>
      <c r="AH7" s="649" t="s">
        <v>758</v>
      </c>
      <c r="AK7" s="649" t="s">
        <v>759</v>
      </c>
      <c r="AM7" s="649" t="s">
        <v>760</v>
      </c>
      <c r="AP7" s="31" t="s">
        <v>194</v>
      </c>
      <c r="AQ7" s="657" t="s">
        <v>194</v>
      </c>
      <c r="AU7" s="677" t="s">
        <v>761</v>
      </c>
      <c r="AW7" s="677" t="s">
        <v>762</v>
      </c>
      <c r="AX7" s="677" t="s">
        <v>762</v>
      </c>
      <c r="AZ7" s="642" t="s">
        <v>763</v>
      </c>
      <c r="BB7" s="677" t="s">
        <v>764</v>
      </c>
      <c r="BC7" s="677" t="s">
        <v>727</v>
      </c>
      <c r="BE7" s="677">
        <v>2005</v>
      </c>
      <c r="BF7" s="677" t="s">
        <v>765</v>
      </c>
      <c r="BH7" s="643" t="s">
        <v>766</v>
      </c>
      <c r="BJ7" s="643" t="s">
        <v>748</v>
      </c>
      <c r="BL7" s="643" t="s">
        <v>748</v>
      </c>
      <c r="BN7" s="643" t="s">
        <v>767</v>
      </c>
      <c r="BQ7" s="677">
        <v>4213781</v>
      </c>
      <c r="BR7" s="643" t="s">
        <v>652</v>
      </c>
      <c r="BS7" s="765"/>
      <c r="BT7" s="677">
        <v>64236873</v>
      </c>
      <c r="BU7" s="643" t="s">
        <v>241</v>
      </c>
      <c r="BV7" s="191"/>
      <c r="BW7" s="677">
        <v>4213769</v>
      </c>
      <c r="BX7" s="643" t="s">
        <v>768</v>
      </c>
      <c r="BZ7" s="677">
        <v>64237511</v>
      </c>
      <c r="CA7" s="643" t="s">
        <v>271</v>
      </c>
    </row>
    <row r="8" spans="1:79" ht="11.25" customHeight="1">
      <c r="A8" s="2" t="s">
        <v>769</v>
      </c>
      <c r="B8" s="648">
        <v>2006</v>
      </c>
      <c r="E8" s="649" t="s">
        <v>770</v>
      </c>
      <c r="F8" s="33"/>
      <c r="I8" s="649" t="s">
        <v>93</v>
      </c>
      <c r="J8" s="649" t="s">
        <v>771</v>
      </c>
      <c r="N8" s="685" t="s">
        <v>772</v>
      </c>
      <c r="O8" s="649" t="s">
        <v>773</v>
      </c>
      <c r="V8" s="222" t="s">
        <v>93</v>
      </c>
      <c r="W8" s="654"/>
      <c r="X8" s="648" t="s">
        <v>200</v>
      </c>
      <c r="Y8" s="648" t="s">
        <v>718</v>
      </c>
      <c r="Z8" s="15"/>
      <c r="AA8" s="203"/>
      <c r="AK8" s="649" t="s">
        <v>774</v>
      </c>
      <c r="AP8" s="31" t="s">
        <v>200</v>
      </c>
      <c r="AQ8" s="657" t="s">
        <v>200</v>
      </c>
      <c r="AU8" s="677" t="s">
        <v>775</v>
      </c>
      <c r="AW8" s="677" t="s">
        <v>776</v>
      </c>
      <c r="AX8" s="677" t="s">
        <v>776</v>
      </c>
      <c r="AZ8" s="677" t="s">
        <v>777</v>
      </c>
      <c r="BB8" s="677" t="s">
        <v>778</v>
      </c>
      <c r="BC8" s="677" t="s">
        <v>727</v>
      </c>
      <c r="BE8" s="677">
        <v>2006</v>
      </c>
      <c r="BF8" s="677" t="s">
        <v>779</v>
      </c>
      <c r="BH8" s="643" t="s">
        <v>780</v>
      </c>
      <c r="BJ8" s="643" t="s">
        <v>781</v>
      </c>
      <c r="BL8" s="643" t="s">
        <v>781</v>
      </c>
      <c r="BN8" s="643" t="s">
        <v>782</v>
      </c>
      <c r="BQ8" s="677">
        <v>4213776</v>
      </c>
      <c r="BR8" s="643" t="s">
        <v>182</v>
      </c>
      <c r="BS8" s="765"/>
      <c r="BT8" s="677">
        <v>64236874</v>
      </c>
      <c r="BU8" s="770" t="s">
        <v>783</v>
      </c>
      <c r="BV8" s="191"/>
      <c r="BW8" s="677">
        <v>4213770</v>
      </c>
      <c r="BX8" s="770" t="s">
        <v>784</v>
      </c>
      <c r="BZ8" s="677">
        <v>64237512</v>
      </c>
      <c r="CA8" s="643" t="s">
        <v>266</v>
      </c>
    </row>
    <row r="9" spans="1:79" ht="11.25" customHeight="1">
      <c r="A9" s="2" t="s">
        <v>785</v>
      </c>
      <c r="B9" s="648">
        <v>2007</v>
      </c>
      <c r="E9" s="649" t="s">
        <v>786</v>
      </c>
      <c r="F9" s="33"/>
      <c r="G9" s="642" t="s">
        <v>787</v>
      </c>
      <c r="H9" s="642" t="s">
        <v>788</v>
      </c>
      <c r="I9" s="649" t="s">
        <v>121</v>
      </c>
      <c r="O9" s="649" t="s">
        <v>789</v>
      </c>
      <c r="V9" s="222" t="s">
        <v>121</v>
      </c>
      <c r="W9" s="654"/>
      <c r="X9" s="648" t="s">
        <v>206</v>
      </c>
      <c r="Y9" s="648" t="s">
        <v>624</v>
      </c>
      <c r="Z9" s="15">
        <v>1</v>
      </c>
      <c r="AA9" s="203"/>
      <c r="AK9" s="649" t="s">
        <v>790</v>
      </c>
      <c r="AP9" s="31" t="s">
        <v>791</v>
      </c>
      <c r="AQ9" s="657" t="s">
        <v>791</v>
      </c>
      <c r="AW9" s="677" t="s">
        <v>792</v>
      </c>
      <c r="AX9" s="677" t="s">
        <v>792</v>
      </c>
      <c r="AZ9" s="677" t="s">
        <v>793</v>
      </c>
      <c r="BB9" s="677" t="s">
        <v>794</v>
      </c>
      <c r="BC9" s="677" t="s">
        <v>727</v>
      </c>
      <c r="BE9" s="677">
        <v>2007</v>
      </c>
      <c r="BF9" s="677" t="s">
        <v>795</v>
      </c>
      <c r="BH9" s="643" t="s">
        <v>796</v>
      </c>
      <c r="BJ9" s="643" t="s">
        <v>797</v>
      </c>
      <c r="BL9" s="643" t="s">
        <v>797</v>
      </c>
      <c r="BN9" s="643" t="s">
        <v>798</v>
      </c>
      <c r="BQ9" s="677">
        <v>4213777</v>
      </c>
      <c r="BR9" s="643" t="s">
        <v>188</v>
      </c>
      <c r="BS9" s="765"/>
      <c r="BT9" s="677">
        <v>64236875</v>
      </c>
      <c r="BU9" s="643" t="s">
        <v>246</v>
      </c>
      <c r="BV9" s="191"/>
      <c r="BW9"/>
      <c r="BX9"/>
    </row>
    <row r="10" spans="1:79" ht="11.25" customHeight="1">
      <c r="A10" s="2" t="s">
        <v>799</v>
      </c>
      <c r="B10" s="648">
        <v>2008</v>
      </c>
      <c r="E10" s="649" t="s">
        <v>800</v>
      </c>
      <c r="F10" s="33"/>
      <c r="G10" s="649" t="s">
        <v>801</v>
      </c>
      <c r="H10" s="649" t="s">
        <v>802</v>
      </c>
      <c r="I10" s="649" t="s">
        <v>164</v>
      </c>
      <c r="J10" s="642" t="s">
        <v>803</v>
      </c>
      <c r="K10" s="642" t="s">
        <v>804</v>
      </c>
      <c r="O10" s="649" t="s">
        <v>805</v>
      </c>
      <c r="V10" s="223" t="s">
        <v>164</v>
      </c>
      <c r="W10" s="660"/>
      <c r="X10" s="660" t="s">
        <v>806</v>
      </c>
      <c r="Y10" s="661" t="s">
        <v>807</v>
      </c>
      <c r="Z10" s="15"/>
      <c r="AP10" s="31" t="s">
        <v>806</v>
      </c>
      <c r="AQ10" s="657" t="s">
        <v>806</v>
      </c>
      <c r="AW10" s="677" t="s">
        <v>808</v>
      </c>
      <c r="AX10" s="677" t="s">
        <v>808</v>
      </c>
      <c r="AZ10" s="677" t="s">
        <v>809</v>
      </c>
      <c r="BB10" s="677" t="s">
        <v>810</v>
      </c>
      <c r="BC10" s="677" t="s">
        <v>727</v>
      </c>
      <c r="BE10" s="677">
        <v>2008</v>
      </c>
      <c r="BF10" s="677" t="s">
        <v>811</v>
      </c>
      <c r="BH10" s="643" t="s">
        <v>812</v>
      </c>
      <c r="BJ10" s="643" t="s">
        <v>813</v>
      </c>
      <c r="BL10" s="643" t="s">
        <v>813</v>
      </c>
      <c r="BN10" s="643" t="s">
        <v>814</v>
      </c>
      <c r="BQ10" s="677">
        <v>4213778</v>
      </c>
      <c r="BR10" s="643" t="s">
        <v>194</v>
      </c>
      <c r="BS10" s="765"/>
      <c r="BT10" s="677">
        <v>64236876</v>
      </c>
      <c r="BU10" s="643" t="s">
        <v>226</v>
      </c>
      <c r="BV10" s="191"/>
      <c r="BW10"/>
      <c r="BX10"/>
    </row>
    <row r="11" spans="1:79" ht="11.25" customHeight="1">
      <c r="A11" s="2" t="s">
        <v>815</v>
      </c>
      <c r="B11" s="648">
        <v>2009</v>
      </c>
      <c r="E11" s="649" t="s">
        <v>816</v>
      </c>
      <c r="F11" s="33"/>
      <c r="G11" s="649" t="s">
        <v>817</v>
      </c>
      <c r="H11" s="649" t="s">
        <v>818</v>
      </c>
      <c r="I11" s="649" t="s">
        <v>165</v>
      </c>
      <c r="J11" s="649" t="s">
        <v>819</v>
      </c>
      <c r="K11" s="662" t="s">
        <v>820</v>
      </c>
      <c r="O11" s="649" t="s">
        <v>821</v>
      </c>
      <c r="V11" s="222" t="s">
        <v>165</v>
      </c>
      <c r="W11" s="158"/>
      <c r="X11" s="654" t="s">
        <v>791</v>
      </c>
      <c r="Y11" s="648" t="s">
        <v>822</v>
      </c>
      <c r="Z11" s="15"/>
      <c r="AP11" s="31" t="s">
        <v>206</v>
      </c>
      <c r="AQ11" s="658" t="s">
        <v>206</v>
      </c>
      <c r="AW11" s="677" t="s">
        <v>823</v>
      </c>
      <c r="AX11" s="677" t="s">
        <v>823</v>
      </c>
      <c r="AZ11" s="677" t="s">
        <v>824</v>
      </c>
      <c r="BB11" s="677" t="s">
        <v>825</v>
      </c>
      <c r="BC11" s="677" t="s">
        <v>727</v>
      </c>
      <c r="BE11" s="677">
        <v>2009</v>
      </c>
      <c r="BF11" s="677" t="s">
        <v>826</v>
      </c>
      <c r="BH11" s="643" t="s">
        <v>827</v>
      </c>
      <c r="BJ11" s="643" t="s">
        <v>796</v>
      </c>
      <c r="BL11" s="643" t="s">
        <v>796</v>
      </c>
      <c r="BN11" s="643" t="s">
        <v>828</v>
      </c>
      <c r="BQ11" s="677">
        <v>4213780</v>
      </c>
      <c r="BR11" s="643" t="s">
        <v>200</v>
      </c>
      <c r="BS11" s="765"/>
      <c r="BW11"/>
      <c r="BX11"/>
    </row>
    <row r="12" spans="1:79" ht="11.25" customHeight="1">
      <c r="A12" s="2" t="s">
        <v>829</v>
      </c>
      <c r="B12" s="648">
        <v>2010</v>
      </c>
      <c r="E12" s="649" t="s">
        <v>830</v>
      </c>
      <c r="F12" s="33"/>
      <c r="G12" s="649" t="s">
        <v>818</v>
      </c>
      <c r="I12" s="649" t="s">
        <v>166</v>
      </c>
      <c r="J12" s="649" t="s">
        <v>831</v>
      </c>
      <c r="K12" s="662" t="s">
        <v>832</v>
      </c>
      <c r="O12" s="649" t="s">
        <v>618</v>
      </c>
      <c r="V12" s="222" t="s">
        <v>166</v>
      </c>
      <c r="W12" s="658"/>
      <c r="X12" s="654" t="s">
        <v>833</v>
      </c>
      <c r="Y12" s="648" t="s">
        <v>624</v>
      </c>
      <c r="AP12" s="31"/>
      <c r="AW12" s="677" t="s">
        <v>165</v>
      </c>
      <c r="AX12" s="677" t="s">
        <v>165</v>
      </c>
      <c r="AZ12" s="677" t="s">
        <v>834</v>
      </c>
      <c r="BB12" s="677" t="s">
        <v>835</v>
      </c>
      <c r="BC12" s="677" t="s">
        <v>727</v>
      </c>
      <c r="BE12" s="677">
        <v>2010</v>
      </c>
      <c r="BF12" s="677" t="s">
        <v>836</v>
      </c>
      <c r="BH12" s="643" t="s">
        <v>837</v>
      </c>
      <c r="BJ12" s="643" t="s">
        <v>838</v>
      </c>
      <c r="BL12" s="643" t="s">
        <v>838</v>
      </c>
      <c r="BN12" s="643" t="s">
        <v>839</v>
      </c>
      <c r="BQ12" s="677">
        <v>4213779</v>
      </c>
      <c r="BR12" s="643" t="s">
        <v>791</v>
      </c>
      <c r="BS12" s="765"/>
      <c r="BT12" s="191"/>
      <c r="BU12" s="191"/>
      <c r="BV12" s="191"/>
      <c r="BW12"/>
      <c r="BX12"/>
    </row>
    <row r="13" spans="1:79" ht="11.25" customHeight="1">
      <c r="A13" s="2" t="s">
        <v>840</v>
      </c>
      <c r="B13" s="648">
        <v>2011</v>
      </c>
      <c r="E13" s="649" t="s">
        <v>841</v>
      </c>
      <c r="F13" s="33"/>
      <c r="I13" s="649" t="s">
        <v>167</v>
      </c>
      <c r="K13" s="662" t="s">
        <v>790</v>
      </c>
      <c r="V13" s="222" t="s">
        <v>167</v>
      </c>
      <c r="W13" s="658"/>
      <c r="X13" s="658"/>
      <c r="Y13" s="658"/>
      <c r="AW13" s="677" t="s">
        <v>166</v>
      </c>
      <c r="AX13" s="677" t="s">
        <v>166</v>
      </c>
      <c r="BB13" s="677" t="s">
        <v>842</v>
      </c>
      <c r="BC13" s="677" t="s">
        <v>843</v>
      </c>
      <c r="BE13" s="677">
        <v>2011</v>
      </c>
      <c r="BF13" s="677" t="s">
        <v>844</v>
      </c>
      <c r="BH13" s="643" t="s">
        <v>845</v>
      </c>
      <c r="BJ13" s="643" t="s">
        <v>827</v>
      </c>
      <c r="BL13" s="643" t="s">
        <v>827</v>
      </c>
      <c r="BN13" s="643" t="s">
        <v>846</v>
      </c>
      <c r="BQ13" s="677">
        <v>4213783</v>
      </c>
      <c r="BR13" s="643" t="s">
        <v>806</v>
      </c>
      <c r="BS13" s="765"/>
      <c r="BT13" s="191"/>
      <c r="BU13" s="191"/>
      <c r="BV13" s="191"/>
      <c r="BW13" s="191"/>
      <c r="BX13"/>
    </row>
    <row r="14" spans="1:79" ht="11.25" customHeight="1">
      <c r="A14" s="2" t="s">
        <v>847</v>
      </c>
      <c r="B14" s="648">
        <v>2012</v>
      </c>
      <c r="I14" s="649" t="s">
        <v>168</v>
      </c>
      <c r="J14" s="642" t="s">
        <v>848</v>
      </c>
      <c r="N14" s="642" t="s">
        <v>849</v>
      </c>
      <c r="V14" s="653">
        <v>13</v>
      </c>
      <c r="W14" s="654"/>
      <c r="X14" s="654" t="s">
        <v>659</v>
      </c>
      <c r="Y14" s="648" t="s">
        <v>624</v>
      </c>
      <c r="AW14" s="677" t="s">
        <v>167</v>
      </c>
      <c r="AX14" s="677" t="s">
        <v>167</v>
      </c>
      <c r="AZ14" s="642" t="s">
        <v>850</v>
      </c>
      <c r="BB14" s="677" t="s">
        <v>851</v>
      </c>
      <c r="BC14" s="677" t="s">
        <v>843</v>
      </c>
      <c r="BE14" s="677">
        <v>2012</v>
      </c>
      <c r="BH14" s="643" t="s">
        <v>767</v>
      </c>
      <c r="BJ14" s="724" t="s">
        <v>852</v>
      </c>
      <c r="BL14" s="724" t="s">
        <v>852</v>
      </c>
      <c r="BN14" s="643" t="s">
        <v>853</v>
      </c>
      <c r="BQ14" s="677">
        <v>4213782</v>
      </c>
      <c r="BR14" s="643" t="s">
        <v>206</v>
      </c>
      <c r="BS14" s="765"/>
      <c r="BT14" s="191"/>
      <c r="BU14" s="191"/>
      <c r="BV14" s="191"/>
      <c r="BW14" s="191"/>
      <c r="BX14"/>
    </row>
    <row r="15" spans="1:79" ht="19.5" customHeight="1">
      <c r="A15" s="2" t="s">
        <v>854</v>
      </c>
      <c r="B15" s="648">
        <v>2013</v>
      </c>
      <c r="E15" s="939" t="s">
        <v>855</v>
      </c>
      <c r="G15" s="642" t="s">
        <v>856</v>
      </c>
      <c r="H15" s="642" t="s">
        <v>857</v>
      </c>
      <c r="I15" s="174" t="s">
        <v>169</v>
      </c>
      <c r="J15" s="658" t="s">
        <v>858</v>
      </c>
      <c r="N15" s="683" t="s">
        <v>859</v>
      </c>
      <c r="X15" s="31"/>
      <c r="AW15" s="677" t="s">
        <v>168</v>
      </c>
      <c r="AX15" s="677" t="s">
        <v>168</v>
      </c>
      <c r="AZ15" s="677" t="s">
        <v>777</v>
      </c>
      <c r="BB15" s="677" t="s">
        <v>860</v>
      </c>
      <c r="BC15" s="677" t="s">
        <v>843</v>
      </c>
      <c r="BE15" s="677">
        <v>2013</v>
      </c>
      <c r="BH15" s="643" t="s">
        <v>782</v>
      </c>
      <c r="BJ15" s="724" t="s">
        <v>861</v>
      </c>
      <c r="BL15" s="724" t="s">
        <v>861</v>
      </c>
      <c r="BN15" s="643" t="s">
        <v>862</v>
      </c>
      <c r="BR15" s="191"/>
      <c r="BS15" s="191"/>
      <c r="BT15" s="191"/>
      <c r="BU15" s="191"/>
      <c r="BV15" s="191"/>
      <c r="BW15" s="191"/>
      <c r="BX15"/>
    </row>
    <row r="16" spans="1:79" ht="21" customHeight="1">
      <c r="A16" s="2" t="s">
        <v>863</v>
      </c>
      <c r="B16" s="648">
        <v>2014</v>
      </c>
      <c r="E16" s="940" t="s">
        <v>864</v>
      </c>
      <c r="G16" s="649" t="s">
        <v>865</v>
      </c>
      <c r="H16" s="649" t="s">
        <v>866</v>
      </c>
      <c r="I16" s="174" t="s">
        <v>867</v>
      </c>
      <c r="J16" s="658" t="s">
        <v>642</v>
      </c>
      <c r="N16" s="683" t="s">
        <v>868</v>
      </c>
      <c r="AW16" s="677" t="s">
        <v>169</v>
      </c>
      <c r="AX16" s="677" t="s">
        <v>169</v>
      </c>
      <c r="AZ16" s="677" t="s">
        <v>793</v>
      </c>
      <c r="BB16" s="677" t="s">
        <v>869</v>
      </c>
      <c r="BC16" s="677" t="s">
        <v>843</v>
      </c>
      <c r="BE16" s="677">
        <v>2014</v>
      </c>
      <c r="BH16" s="643" t="s">
        <v>798</v>
      </c>
      <c r="BJ16" s="724" t="s">
        <v>870</v>
      </c>
      <c r="BL16" s="724" t="s">
        <v>870</v>
      </c>
      <c r="BN16" s="643" t="s">
        <v>871</v>
      </c>
      <c r="BR16" s="191"/>
      <c r="BS16" s="191"/>
      <c r="BT16" s="191"/>
      <c r="BU16" s="191"/>
      <c r="BV16" s="191"/>
      <c r="BW16" s="191"/>
      <c r="BX16"/>
    </row>
    <row r="17" spans="1:82" ht="21" customHeight="1">
      <c r="A17" s="2" t="s">
        <v>872</v>
      </c>
      <c r="B17" s="648">
        <v>2015</v>
      </c>
      <c r="G17" s="649" t="s">
        <v>818</v>
      </c>
      <c r="H17" s="649" t="s">
        <v>818</v>
      </c>
      <c r="I17" s="649" t="s">
        <v>99</v>
      </c>
      <c r="N17" s="683" t="s">
        <v>873</v>
      </c>
      <c r="X17" s="31"/>
      <c r="AW17" s="677" t="s">
        <v>867</v>
      </c>
      <c r="AX17" s="677" t="s">
        <v>867</v>
      </c>
      <c r="AZ17" s="677" t="s">
        <v>874</v>
      </c>
      <c r="BB17" s="677" t="s">
        <v>875</v>
      </c>
      <c r="BC17" s="677" t="s">
        <v>727</v>
      </c>
      <c r="BE17" s="677">
        <v>2015</v>
      </c>
      <c r="BH17" s="643" t="s">
        <v>814</v>
      </c>
      <c r="BJ17" s="724" t="s">
        <v>876</v>
      </c>
      <c r="BL17" s="724" t="s">
        <v>876</v>
      </c>
      <c r="BN17" s="643" t="s">
        <v>877</v>
      </c>
      <c r="BR17" s="642" t="s">
        <v>670</v>
      </c>
      <c r="BS17" s="829"/>
      <c r="BU17" s="642" t="s">
        <v>878</v>
      </c>
      <c r="BV17" s="191"/>
      <c r="BW17"/>
      <c r="BX17" s="642" t="s">
        <v>879</v>
      </c>
      <c r="CA17" s="642" t="s">
        <v>880</v>
      </c>
      <c r="CD17" s="642" t="s">
        <v>881</v>
      </c>
    </row>
    <row r="18" spans="1:82" ht="21" customHeight="1">
      <c r="A18" s="2" t="s">
        <v>882</v>
      </c>
      <c r="B18" s="648">
        <v>2016</v>
      </c>
      <c r="I18" s="649" t="s">
        <v>883</v>
      </c>
      <c r="N18" s="683" t="s">
        <v>884</v>
      </c>
      <c r="X18" s="31"/>
      <c r="AW18" s="677" t="s">
        <v>99</v>
      </c>
      <c r="AX18" s="677" t="s">
        <v>99</v>
      </c>
      <c r="BB18" s="677" t="s">
        <v>885</v>
      </c>
      <c r="BC18" s="677" t="s">
        <v>727</v>
      </c>
      <c r="BE18" s="677">
        <v>2016</v>
      </c>
      <c r="BH18" s="643" t="s">
        <v>828</v>
      </c>
      <c r="BJ18" s="724" t="s">
        <v>886</v>
      </c>
      <c r="BL18" s="724" t="s">
        <v>886</v>
      </c>
      <c r="BN18" s="643" t="s">
        <v>887</v>
      </c>
      <c r="BQ18" s="831" t="s">
        <v>699</v>
      </c>
      <c r="BR18" s="31" t="s">
        <v>700</v>
      </c>
      <c r="BS18" s="31"/>
      <c r="BT18" s="831" t="s">
        <v>888</v>
      </c>
      <c r="BU18" s="31" t="s">
        <v>889</v>
      </c>
      <c r="BV18" s="191"/>
      <c r="BW18" s="831" t="s">
        <v>890</v>
      </c>
      <c r="BX18" s="31" t="s">
        <v>891</v>
      </c>
      <c r="BZ18" s="831" t="s">
        <v>892</v>
      </c>
      <c r="CA18" s="31" t="s">
        <v>893</v>
      </c>
      <c r="CC18" s="831" t="s">
        <v>894</v>
      </c>
      <c r="CD18" s="31" t="s">
        <v>895</v>
      </c>
    </row>
    <row r="19" spans="1:82" ht="21" customHeight="1">
      <c r="A19" s="2" t="s">
        <v>896</v>
      </c>
      <c r="B19" s="648">
        <v>2017</v>
      </c>
      <c r="I19" s="649" t="s">
        <v>897</v>
      </c>
      <c r="N19" s="683" t="s">
        <v>898</v>
      </c>
      <c r="X19" s="31"/>
      <c r="AW19" s="677" t="s">
        <v>883</v>
      </c>
      <c r="AX19" s="677" t="s">
        <v>883</v>
      </c>
      <c r="AZ19" s="642" t="s">
        <v>899</v>
      </c>
      <c r="BB19" s="677" t="s">
        <v>900</v>
      </c>
      <c r="BC19" s="677" t="s">
        <v>727</v>
      </c>
      <c r="BE19" s="677">
        <v>2017</v>
      </c>
      <c r="BH19" s="643" t="s">
        <v>901</v>
      </c>
      <c r="BJ19" s="724" t="s">
        <v>902</v>
      </c>
      <c r="BL19" s="724" t="s">
        <v>902</v>
      </c>
      <c r="BQ19" s="677">
        <v>4190064</v>
      </c>
      <c r="BR19" s="643" t="s">
        <v>903</v>
      </c>
      <c r="BS19" s="765"/>
      <c r="BT19" s="677">
        <v>4189671</v>
      </c>
      <c r="BU19" s="643" t="s">
        <v>904</v>
      </c>
      <c r="BV19" s="191"/>
      <c r="BW19" s="677">
        <v>4189706</v>
      </c>
      <c r="BX19" s="643" t="s">
        <v>905</v>
      </c>
      <c r="BZ19" s="677">
        <v>4189714</v>
      </c>
      <c r="CA19" s="643" t="s">
        <v>906</v>
      </c>
      <c r="CC19" s="677">
        <v>4189708</v>
      </c>
      <c r="CD19" s="643" t="s">
        <v>907</v>
      </c>
    </row>
    <row r="20" spans="1:82" ht="21" customHeight="1">
      <c r="A20" s="2" t="s">
        <v>908</v>
      </c>
      <c r="B20" s="648">
        <v>2018</v>
      </c>
      <c r="I20" s="649" t="s">
        <v>909</v>
      </c>
      <c r="N20" s="683" t="s">
        <v>910</v>
      </c>
      <c r="AW20" s="677" t="s">
        <v>897</v>
      </c>
      <c r="AX20" s="677" t="s">
        <v>897</v>
      </c>
      <c r="AZ20" s="677" t="s">
        <v>911</v>
      </c>
      <c r="BB20" s="677" t="s">
        <v>912</v>
      </c>
      <c r="BC20" s="677" t="s">
        <v>843</v>
      </c>
      <c r="BE20" s="677">
        <v>2018</v>
      </c>
      <c r="BH20" s="643" t="s">
        <v>839</v>
      </c>
      <c r="BJ20" s="643" t="s">
        <v>767</v>
      </c>
      <c r="BL20" s="643" t="s">
        <v>767</v>
      </c>
      <c r="BQ20" s="677">
        <v>4190065</v>
      </c>
      <c r="BR20" s="643" t="s">
        <v>913</v>
      </c>
      <c r="BS20" s="765"/>
      <c r="BT20" s="677">
        <v>4189672</v>
      </c>
      <c r="BU20" s="643" t="s">
        <v>914</v>
      </c>
      <c r="BV20" s="191"/>
      <c r="BW20" s="677">
        <v>4189705</v>
      </c>
      <c r="BX20" s="643" t="s">
        <v>915</v>
      </c>
      <c r="BZ20" s="677">
        <v>4189713</v>
      </c>
      <c r="CA20" s="643" t="s">
        <v>915</v>
      </c>
      <c r="CC20" s="677">
        <v>4189709</v>
      </c>
      <c r="CD20" s="643" t="s">
        <v>916</v>
      </c>
    </row>
    <row r="21" spans="1:82" ht="21" customHeight="1">
      <c r="A21" s="2" t="s">
        <v>917</v>
      </c>
      <c r="B21" s="648">
        <v>2019</v>
      </c>
      <c r="I21" s="649" t="s">
        <v>918</v>
      </c>
      <c r="N21" s="683" t="s">
        <v>919</v>
      </c>
      <c r="AW21" s="677" t="s">
        <v>909</v>
      </c>
      <c r="AX21" s="677" t="s">
        <v>909</v>
      </c>
      <c r="AZ21" s="677" t="s">
        <v>920</v>
      </c>
      <c r="BB21" s="677" t="s">
        <v>921</v>
      </c>
      <c r="BC21" s="677" t="s">
        <v>727</v>
      </c>
      <c r="BE21" s="677">
        <v>2019</v>
      </c>
      <c r="BH21" s="643" t="s">
        <v>846</v>
      </c>
      <c r="BJ21" s="643" t="s">
        <v>782</v>
      </c>
      <c r="BL21" s="643" t="s">
        <v>782</v>
      </c>
      <c r="BQ21" s="677">
        <v>4190066</v>
      </c>
      <c r="BR21" s="643" t="s">
        <v>922</v>
      </c>
      <c r="BS21" s="765"/>
      <c r="BT21" s="677">
        <v>4189673</v>
      </c>
      <c r="BU21" s="643" t="s">
        <v>923</v>
      </c>
      <c r="BV21" s="191"/>
      <c r="BW21" s="677">
        <v>4189707</v>
      </c>
      <c r="BX21" s="643" t="s">
        <v>924</v>
      </c>
      <c r="BZ21" s="677">
        <v>4189712</v>
      </c>
      <c r="CA21" s="643" t="s">
        <v>925</v>
      </c>
      <c r="CC21" s="677">
        <v>4189710</v>
      </c>
      <c r="CD21" s="643" t="s">
        <v>926</v>
      </c>
    </row>
    <row r="22" spans="1:82" ht="21" customHeight="1">
      <c r="A22" s="2" t="s">
        <v>927</v>
      </c>
      <c r="B22" s="648">
        <v>2020</v>
      </c>
      <c r="N22" s="683" t="s">
        <v>928</v>
      </c>
      <c r="AW22" s="677" t="s">
        <v>918</v>
      </c>
      <c r="AX22" s="677" t="s">
        <v>918</v>
      </c>
      <c r="AZ22" s="677" t="s">
        <v>929</v>
      </c>
      <c r="BB22" s="677" t="s">
        <v>930</v>
      </c>
      <c r="BC22" s="677" t="s">
        <v>727</v>
      </c>
      <c r="BE22" s="677">
        <v>2020</v>
      </c>
      <c r="BH22" s="643" t="s">
        <v>853</v>
      </c>
      <c r="BJ22" s="643" t="s">
        <v>798</v>
      </c>
      <c r="BL22" s="643" t="s">
        <v>798</v>
      </c>
      <c r="BQ22" s="677">
        <v>4190067</v>
      </c>
      <c r="BR22" s="643" t="s">
        <v>931</v>
      </c>
      <c r="BS22" s="765"/>
      <c r="BT22" s="677">
        <v>4189674</v>
      </c>
      <c r="BU22" s="643" t="s">
        <v>932</v>
      </c>
      <c r="BV22" s="191"/>
      <c r="BW22" s="191"/>
      <c r="CC22" s="677">
        <v>4189711</v>
      </c>
      <c r="CD22" s="643" t="s">
        <v>295</v>
      </c>
    </row>
    <row r="23" spans="1:82" ht="21" customHeight="1">
      <c r="A23" s="2" t="s">
        <v>933</v>
      </c>
      <c r="B23" s="648">
        <v>2021</v>
      </c>
      <c r="AW23" s="677" t="s">
        <v>934</v>
      </c>
      <c r="AX23" s="677" t="s">
        <v>934</v>
      </c>
      <c r="AZ23" s="677" t="s">
        <v>935</v>
      </c>
      <c r="BB23" s="677" t="s">
        <v>936</v>
      </c>
      <c r="BC23" s="677" t="s">
        <v>635</v>
      </c>
      <c r="BE23" s="677">
        <v>2021</v>
      </c>
      <c r="BH23" s="643" t="s">
        <v>862</v>
      </c>
      <c r="BJ23" s="643" t="s">
        <v>814</v>
      </c>
      <c r="BL23" s="643" t="s">
        <v>814</v>
      </c>
      <c r="BQ23" s="677">
        <v>4190068</v>
      </c>
      <c r="BR23" s="643" t="s">
        <v>937</v>
      </c>
      <c r="BS23" s="765"/>
      <c r="BT23" s="677">
        <v>4189675</v>
      </c>
      <c r="BU23" s="643" t="s">
        <v>938</v>
      </c>
      <c r="BV23" s="191"/>
      <c r="BW23" s="191"/>
      <c r="CC23" s="677">
        <v>5110778</v>
      </c>
      <c r="CD23" s="643" t="s">
        <v>939</v>
      </c>
    </row>
    <row r="24" spans="1:82" ht="21" customHeight="1">
      <c r="A24" s="2" t="s">
        <v>940</v>
      </c>
      <c r="B24" s="648">
        <v>2022</v>
      </c>
      <c r="AW24" s="677" t="s">
        <v>941</v>
      </c>
      <c r="AX24" s="677" t="s">
        <v>941</v>
      </c>
      <c r="AZ24" s="677" t="s">
        <v>942</v>
      </c>
      <c r="BB24" s="677" t="s">
        <v>943</v>
      </c>
      <c r="BC24" s="677" t="s">
        <v>944</v>
      </c>
      <c r="BE24" s="677">
        <v>2022</v>
      </c>
      <c r="BH24" s="643" t="s">
        <v>871</v>
      </c>
      <c r="BJ24" s="643" t="s">
        <v>828</v>
      </c>
      <c r="BL24" s="643" t="s">
        <v>828</v>
      </c>
      <c r="BQ24" s="677">
        <v>4190069</v>
      </c>
      <c r="BR24" s="643" t="s">
        <v>945</v>
      </c>
      <c r="BS24" s="765"/>
      <c r="BT24" s="677">
        <v>4189676</v>
      </c>
      <c r="BU24" s="643" t="s">
        <v>946</v>
      </c>
      <c r="BV24" s="191"/>
      <c r="BW24" s="191"/>
      <c r="CC24" s="677">
        <v>25575374</v>
      </c>
      <c r="CD24" s="643" t="s">
        <v>947</v>
      </c>
    </row>
    <row r="25" spans="1:82" ht="11.25" customHeight="1">
      <c r="A25" s="2" t="s">
        <v>948</v>
      </c>
      <c r="B25" s="648">
        <v>2023</v>
      </c>
      <c r="AW25" s="677" t="s">
        <v>949</v>
      </c>
      <c r="AX25" s="677" t="s">
        <v>949</v>
      </c>
      <c r="AZ25" s="677" t="s">
        <v>950</v>
      </c>
      <c r="BB25" s="677" t="s">
        <v>951</v>
      </c>
      <c r="BC25" s="677" t="s">
        <v>944</v>
      </c>
      <c r="BE25" s="677">
        <v>2023</v>
      </c>
      <c r="BH25" s="643" t="s">
        <v>877</v>
      </c>
      <c r="BJ25" s="643" t="s">
        <v>901</v>
      </c>
      <c r="BL25" s="643" t="s">
        <v>901</v>
      </c>
      <c r="BQ25" s="677">
        <v>4190070</v>
      </c>
      <c r="BR25" s="643" t="s">
        <v>952</v>
      </c>
      <c r="BS25" s="765"/>
      <c r="BT25" s="677">
        <v>4189677</v>
      </c>
      <c r="BU25" s="643" t="s">
        <v>953</v>
      </c>
      <c r="BV25" s="191"/>
      <c r="BW25" s="191"/>
    </row>
    <row r="26" spans="1:82" ht="11.25" customHeight="1">
      <c r="A26" s="2" t="s">
        <v>954</v>
      </c>
      <c r="B26" s="648">
        <v>2024</v>
      </c>
      <c r="J26" s="971" t="s">
        <v>955</v>
      </c>
      <c r="AX26" s="677" t="s">
        <v>956</v>
      </c>
      <c r="AZ26" s="677" t="s">
        <v>821</v>
      </c>
      <c r="BB26" s="677" t="s">
        <v>957</v>
      </c>
      <c r="BC26" s="677" t="s">
        <v>944</v>
      </c>
      <c r="BE26" s="677">
        <v>2024</v>
      </c>
      <c r="BH26" s="643" t="s">
        <v>887</v>
      </c>
      <c r="BJ26" s="643" t="s">
        <v>839</v>
      </c>
      <c r="BL26" s="643" t="s">
        <v>839</v>
      </c>
      <c r="BQ26" s="677">
        <v>4190071</v>
      </c>
      <c r="BR26" s="643" t="s">
        <v>958</v>
      </c>
      <c r="BS26" s="765"/>
      <c r="BV26" s="191"/>
      <c r="BW26" s="191"/>
    </row>
    <row r="27" spans="1:82" ht="11.25" customHeight="1">
      <c r="A27" s="2" t="s">
        <v>959</v>
      </c>
      <c r="B27" s="648">
        <v>2025</v>
      </c>
      <c r="J27" s="84" t="s">
        <v>104</v>
      </c>
      <c r="AX27" s="677" t="s">
        <v>960</v>
      </c>
      <c r="BB27" s="677" t="s">
        <v>961</v>
      </c>
      <c r="BC27" s="677" t="s">
        <v>944</v>
      </c>
      <c r="BE27" s="677">
        <v>2025</v>
      </c>
      <c r="BH27" s="191" t="s">
        <v>18</v>
      </c>
      <c r="BJ27" s="643" t="s">
        <v>846</v>
      </c>
      <c r="BL27" s="643" t="s">
        <v>846</v>
      </c>
      <c r="BN27" s="191" t="s">
        <v>18</v>
      </c>
      <c r="BQ27" s="677">
        <v>4190072</v>
      </c>
      <c r="BR27" s="643" t="s">
        <v>962</v>
      </c>
      <c r="BS27" s="765"/>
      <c r="BV27" s="191"/>
      <c r="BW27" s="191"/>
    </row>
    <row r="28" spans="1:82" ht="11.25" customHeight="1">
      <c r="A28" s="2" t="s">
        <v>963</v>
      </c>
      <c r="D28" s="2"/>
      <c r="E28" s="663"/>
      <c r="F28" s="663"/>
      <c r="H28" s="145" t="s">
        <v>964</v>
      </c>
      <c r="AX28" s="677" t="s">
        <v>965</v>
      </c>
      <c r="AZ28" s="642" t="s">
        <v>966</v>
      </c>
      <c r="BB28" s="677" t="s">
        <v>967</v>
      </c>
      <c r="BC28" s="677" t="s">
        <v>968</v>
      </c>
      <c r="BE28" s="677">
        <v>2026</v>
      </c>
      <c r="BH28" s="191" t="s">
        <v>18</v>
      </c>
      <c r="BJ28" s="643" t="s">
        <v>853</v>
      </c>
      <c r="BL28" s="643" t="s">
        <v>853</v>
      </c>
      <c r="BN28" s="191" t="s">
        <v>18</v>
      </c>
      <c r="BQ28" s="677">
        <v>4190073</v>
      </c>
      <c r="BR28" s="643" t="s">
        <v>969</v>
      </c>
      <c r="BS28" s="765"/>
      <c r="BV28" s="191"/>
      <c r="BW28" s="191"/>
    </row>
    <row r="29" spans="1:82" ht="11.25" customHeight="1">
      <c r="A29" s="2" t="s">
        <v>970</v>
      </c>
      <c r="D29" s="664" t="s">
        <v>971</v>
      </c>
      <c r="E29" s="665" t="str">
        <f>IF(TEMPLATE_GROUP="","",INDEX(StartDateList,MATCH(TEMPLATE_GROUP,CodeTemplateList,0),1))</f>
        <v>01.07.2023</v>
      </c>
      <c r="F29" s="665" t="str">
        <f>IF(TEMPLATE_GROUP="","",INDEX(EndDateList,MATCH(TEMPLATE_GROUP,CodeTemplateList,0),1))</f>
        <v>30.09.2023</v>
      </c>
      <c r="H29" s="666" t="s">
        <v>972</v>
      </c>
      <c r="AX29" s="677" t="s">
        <v>973</v>
      </c>
      <c r="AZ29" s="677" t="s">
        <v>619</v>
      </c>
      <c r="BB29" s="677" t="s">
        <v>821</v>
      </c>
      <c r="BC29" s="15"/>
      <c r="BE29" s="677">
        <v>2027</v>
      </c>
      <c r="BJ29" s="643" t="s">
        <v>862</v>
      </c>
      <c r="BL29" s="643" t="s">
        <v>862</v>
      </c>
    </row>
    <row r="30" spans="1:82" ht="11.25" customHeight="1">
      <c r="A30" s="2" t="s">
        <v>974</v>
      </c>
      <c r="D30" s="667"/>
      <c r="E30" s="161"/>
      <c r="F30" s="161"/>
      <c r="AX30" s="677" t="s">
        <v>106</v>
      </c>
      <c r="AZ30" s="677" t="s">
        <v>648</v>
      </c>
      <c r="BE30" s="677">
        <v>2028</v>
      </c>
      <c r="BJ30" s="643" t="s">
        <v>975</v>
      </c>
      <c r="BL30" s="643" t="s">
        <v>975</v>
      </c>
    </row>
    <row r="31" spans="1:82" ht="12.75" customHeight="1">
      <c r="A31" s="2" t="s">
        <v>976</v>
      </c>
      <c r="D31" s="2"/>
      <c r="E31" s="663"/>
      <c r="F31" s="663"/>
      <c r="H31" s="668"/>
      <c r="AX31" s="677" t="s">
        <v>977</v>
      </c>
      <c r="AZ31" s="677" t="s">
        <v>978</v>
      </c>
      <c r="BE31" s="677">
        <v>2029</v>
      </c>
      <c r="BJ31" s="643" t="s">
        <v>979</v>
      </c>
      <c r="BL31" s="643" t="s">
        <v>979</v>
      </c>
    </row>
    <row r="32" spans="1:82" ht="11.25" customHeight="1">
      <c r="A32" s="2" t="s">
        <v>980</v>
      </c>
      <c r="D32" s="664" t="s">
        <v>981</v>
      </c>
      <c r="E32" s="665" t="str">
        <f>IF(TEMPLATE_GROUP="","",INDEX(StartDateList,MATCH(TEMPLATE_GROUP,CodeTemplateList,0),1))</f>
        <v>01.07.2023</v>
      </c>
      <c r="F32" s="665" t="str">
        <f>IF(TEMPLATE_GROUP="","",INDEX(EndDateList,MATCH(TEMPLATE_GROUP,CodeTemplateList,0),1))</f>
        <v>30.09.2023</v>
      </c>
      <c r="H32" s="669" t="s">
        <v>982</v>
      </c>
      <c r="O32" s="2" t="s">
        <v>617</v>
      </c>
      <c r="AX32" s="677" t="s">
        <v>983</v>
      </c>
      <c r="AZ32" s="677" t="s">
        <v>715</v>
      </c>
      <c r="BE32" s="677">
        <v>2030</v>
      </c>
      <c r="BJ32" s="643" t="s">
        <v>871</v>
      </c>
      <c r="BL32" s="643" t="s">
        <v>871</v>
      </c>
    </row>
    <row r="33" spans="1:66" ht="11.25" customHeight="1">
      <c r="A33" s="2" t="s">
        <v>984</v>
      </c>
      <c r="O33" s="2" t="s">
        <v>645</v>
      </c>
      <c r="AX33" s="677" t="s">
        <v>985</v>
      </c>
      <c r="AZ33" s="677" t="s">
        <v>618</v>
      </c>
      <c r="BE33" s="677">
        <v>2031</v>
      </c>
      <c r="BJ33" s="643" t="s">
        <v>877</v>
      </c>
      <c r="BL33" s="643" t="s">
        <v>877</v>
      </c>
    </row>
    <row r="34" spans="1:66" ht="11.25" customHeight="1">
      <c r="A34" s="2" t="s">
        <v>986</v>
      </c>
      <c r="O34" s="2" t="s">
        <v>680</v>
      </c>
      <c r="AX34" s="677" t="s">
        <v>987</v>
      </c>
      <c r="BE34" s="677">
        <v>2032</v>
      </c>
      <c r="BJ34" s="643" t="s">
        <v>887</v>
      </c>
      <c r="BL34" s="643" t="s">
        <v>887</v>
      </c>
    </row>
    <row r="35" spans="1:66" ht="11.25" customHeight="1">
      <c r="A35" s="2" t="s">
        <v>988</v>
      </c>
      <c r="O35" s="2" t="s">
        <v>713</v>
      </c>
      <c r="AX35" s="677" t="s">
        <v>989</v>
      </c>
      <c r="AZ35" s="642" t="s">
        <v>990</v>
      </c>
      <c r="BE35" s="677">
        <v>2033</v>
      </c>
      <c r="BL35" s="643" t="s">
        <v>991</v>
      </c>
    </row>
    <row r="36" spans="1:66" ht="11.25" customHeight="1">
      <c r="A36" s="2" t="s">
        <v>992</v>
      </c>
      <c r="D36" s="670" t="s">
        <v>993</v>
      </c>
      <c r="E36" s="671" t="s">
        <v>994</v>
      </c>
      <c r="F36" s="657" t="str">
        <f>INDEX(E37:E41,MATCH(TEMPLATE_SPHERE,F37:F41,0))</f>
        <v>холодного водоснабжения</v>
      </c>
      <c r="G36" s="657" t="str">
        <f>INDEX(G37:G41,MATCH(TEMPLATE_SPHERE,F37:F41,0))</f>
        <v>холодное водоснабжение</v>
      </c>
      <c r="O36" s="2" t="s">
        <v>738</v>
      </c>
      <c r="AX36" s="677" t="s">
        <v>995</v>
      </c>
      <c r="AZ36" s="677" t="s">
        <v>618</v>
      </c>
      <c r="BE36" s="677">
        <v>2034</v>
      </c>
      <c r="BL36" s="643" t="s">
        <v>996</v>
      </c>
    </row>
    <row r="37" spans="1:66" ht="11.25" customHeight="1">
      <c r="A37" s="2" t="s">
        <v>997</v>
      </c>
      <c r="E37" s="246" t="s">
        <v>998</v>
      </c>
      <c r="F37" s="672" t="s">
        <v>606</v>
      </c>
      <c r="G37" s="246" t="s">
        <v>999</v>
      </c>
      <c r="O37" s="2" t="s">
        <v>757</v>
      </c>
      <c r="AX37" s="677" t="s">
        <v>1000</v>
      </c>
      <c r="AZ37" s="677" t="s">
        <v>647</v>
      </c>
      <c r="BE37" s="677">
        <v>2035</v>
      </c>
    </row>
    <row r="38" spans="1:66" ht="11.25" customHeight="1">
      <c r="A38" s="2" t="s">
        <v>1001</v>
      </c>
      <c r="E38" s="246" t="s">
        <v>1002</v>
      </c>
      <c r="F38" s="673" t="s">
        <v>994</v>
      </c>
      <c r="G38" s="246" t="s">
        <v>1003</v>
      </c>
      <c r="O38" s="2" t="s">
        <v>773</v>
      </c>
      <c r="AX38" s="677" t="s">
        <v>1004</v>
      </c>
      <c r="AZ38" s="677" t="s">
        <v>681</v>
      </c>
      <c r="BE38" s="677">
        <v>2036</v>
      </c>
      <c r="BH38" s="642" t="s">
        <v>1005</v>
      </c>
      <c r="BJ38" s="642" t="s">
        <v>1006</v>
      </c>
      <c r="BL38" s="642" t="s">
        <v>1007</v>
      </c>
      <c r="BN38" s="642" t="s">
        <v>1008</v>
      </c>
    </row>
    <row r="39" spans="1:66" ht="11.25" customHeight="1">
      <c r="A39" s="2" t="s">
        <v>1009</v>
      </c>
      <c r="E39" s="246" t="s">
        <v>1010</v>
      </c>
      <c r="F39" s="673" t="s">
        <v>608</v>
      </c>
      <c r="G39" s="246" t="s">
        <v>1011</v>
      </c>
      <c r="O39" s="2" t="s">
        <v>789</v>
      </c>
      <c r="AX39" s="677" t="s">
        <v>1012</v>
      </c>
      <c r="AZ39" s="677" t="s">
        <v>714</v>
      </c>
      <c r="BE39" s="677">
        <v>2037</v>
      </c>
      <c r="BH39" s="643" t="s">
        <v>1013</v>
      </c>
      <c r="BJ39" s="724" t="s">
        <v>1013</v>
      </c>
      <c r="BL39" s="724" t="s">
        <v>1013</v>
      </c>
      <c r="BN39" s="643" t="s">
        <v>1014</v>
      </c>
    </row>
    <row r="40" spans="1:66" ht="11.25" customHeight="1">
      <c r="A40" s="2" t="s">
        <v>1015</v>
      </c>
      <c r="E40" s="246" t="s">
        <v>1016</v>
      </c>
      <c r="F40" s="673" t="s">
        <v>1017</v>
      </c>
      <c r="G40" s="246" t="s">
        <v>1018</v>
      </c>
      <c r="O40" s="2" t="s">
        <v>805</v>
      </c>
      <c r="AX40" s="677" t="s">
        <v>1019</v>
      </c>
      <c r="BE40" s="677">
        <v>2038</v>
      </c>
      <c r="BH40" s="643" t="s">
        <v>1020</v>
      </c>
      <c r="BJ40" s="724" t="s">
        <v>1021</v>
      </c>
      <c r="BL40" s="724" t="s">
        <v>1021</v>
      </c>
      <c r="BN40" s="643" t="s">
        <v>1022</v>
      </c>
    </row>
    <row r="41" spans="1:66" ht="11.25" customHeight="1">
      <c r="A41" s="2" t="s">
        <v>1023</v>
      </c>
      <c r="E41" s="246" t="s">
        <v>1024</v>
      </c>
      <c r="F41" s="673" t="s">
        <v>1025</v>
      </c>
      <c r="G41" s="246" t="s">
        <v>1024</v>
      </c>
      <c r="O41" s="2" t="s">
        <v>821</v>
      </c>
      <c r="AX41" s="677" t="s">
        <v>1026</v>
      </c>
      <c r="AZ41" s="642" t="s">
        <v>1027</v>
      </c>
      <c r="BE41" s="677">
        <v>2039</v>
      </c>
      <c r="BH41" s="643" t="s">
        <v>1028</v>
      </c>
      <c r="BJ41" s="724" t="s">
        <v>1029</v>
      </c>
      <c r="BL41" s="724" t="s">
        <v>1029</v>
      </c>
      <c r="BN41" s="643" t="s">
        <v>1030</v>
      </c>
    </row>
    <row r="42" spans="1:66" ht="11.25" customHeight="1">
      <c r="A42" s="2" t="s">
        <v>1031</v>
      </c>
      <c r="AX42" s="677" t="s">
        <v>1032</v>
      </c>
      <c r="AZ42" s="677" t="s">
        <v>617</v>
      </c>
      <c r="BE42" s="677">
        <v>2040</v>
      </c>
      <c r="BH42" s="643" t="s">
        <v>1033</v>
      </c>
      <c r="BJ42" s="724" t="s">
        <v>1034</v>
      </c>
      <c r="BL42" s="724" t="s">
        <v>1034</v>
      </c>
      <c r="BN42" s="643" t="s">
        <v>1035</v>
      </c>
    </row>
    <row r="43" spans="1:66" ht="11.25" customHeight="1">
      <c r="A43" s="2" t="s">
        <v>1036</v>
      </c>
      <c r="AX43" s="677" t="s">
        <v>1037</v>
      </c>
      <c r="AZ43" s="677" t="s">
        <v>645</v>
      </c>
      <c r="BE43" s="677">
        <v>2041</v>
      </c>
      <c r="BH43" s="643" t="s">
        <v>1038</v>
      </c>
      <c r="BJ43" s="724" t="s">
        <v>1028</v>
      </c>
      <c r="BL43" s="724" t="s">
        <v>1028</v>
      </c>
      <c r="BN43" s="643" t="s">
        <v>1039</v>
      </c>
    </row>
    <row r="44" spans="1:66" ht="11.25" customHeight="1">
      <c r="A44" s="2" t="s">
        <v>1040</v>
      </c>
      <c r="I44" s="473" t="s">
        <v>1041</v>
      </c>
      <c r="J44" s="658" t="s">
        <v>1042</v>
      </c>
      <c r="K44" s="658" t="s">
        <v>1043</v>
      </c>
      <c r="AX44" s="677" t="s">
        <v>1044</v>
      </c>
      <c r="AZ44" s="677" t="s">
        <v>680</v>
      </c>
      <c r="BE44" s="677">
        <v>2042</v>
      </c>
      <c r="BH44" s="643" t="s">
        <v>1045</v>
      </c>
      <c r="BJ44" s="724" t="s">
        <v>1033</v>
      </c>
      <c r="BL44" s="724" t="s">
        <v>1033</v>
      </c>
      <c r="BN44" s="643" t="s">
        <v>1046</v>
      </c>
    </row>
    <row r="45" spans="1:66" ht="11.25" customHeight="1">
      <c r="A45" s="2" t="s">
        <v>1047</v>
      </c>
      <c r="D45" s="670" t="s">
        <v>1048</v>
      </c>
      <c r="E45" s="671" t="s">
        <v>1049</v>
      </c>
      <c r="F45" s="472" t="s">
        <v>1050</v>
      </c>
      <c r="G45" s="471" t="s">
        <v>1051</v>
      </c>
      <c r="H45" s="473" t="s">
        <v>1052</v>
      </c>
      <c r="I45" s="981" t="b">
        <f>INDEX(PeriodIsEmptyList,MATCH(TEMPLATE_GROUP,CodeTemplateList,0),1)</f>
        <v>0</v>
      </c>
      <c r="J45" s="98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9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77" t="s">
        <v>1053</v>
      </c>
      <c r="AZ45" s="677" t="s">
        <v>713</v>
      </c>
      <c r="BE45" s="677">
        <v>2043</v>
      </c>
      <c r="BH45" s="643" t="s">
        <v>1054</v>
      </c>
      <c r="BJ45" s="724" t="s">
        <v>1055</v>
      </c>
      <c r="BL45" s="724" t="s">
        <v>1055</v>
      </c>
      <c r="BN45" s="643" t="s">
        <v>1056</v>
      </c>
    </row>
    <row r="46" spans="1:66" ht="11.25" customHeight="1">
      <c r="A46" s="2" t="s">
        <v>1057</v>
      </c>
      <c r="E46" s="246" t="s">
        <v>23</v>
      </c>
      <c r="F46" s="672" t="s">
        <v>1058</v>
      </c>
      <c r="G46" s="674"/>
      <c r="H46" s="674"/>
      <c r="I46" s="982" t="b">
        <f>IF(TITLE_DATE_FIL="",TRUE,FALSE)</f>
        <v>1</v>
      </c>
      <c r="J46" s="985" t="str">
        <f>"Общая информация о регулируемой организации ("&amp;TEMPLATE_SPHERE_RUS&amp;")"</f>
        <v>Общая информация о регулируемой организации (холодного водоснабжения)</v>
      </c>
      <c r="K46" s="751"/>
      <c r="AX46" s="677" t="s">
        <v>1059</v>
      </c>
      <c r="AZ46" s="677" t="s">
        <v>738</v>
      </c>
      <c r="BE46" s="677">
        <v>2044</v>
      </c>
      <c r="BH46" s="643" t="s">
        <v>1030</v>
      </c>
      <c r="BJ46" s="724" t="s">
        <v>1060</v>
      </c>
      <c r="BL46" s="724" t="s">
        <v>1060</v>
      </c>
      <c r="BN46" s="643" t="s">
        <v>1061</v>
      </c>
    </row>
    <row r="47" spans="1:66" ht="11.25" customHeight="1">
      <c r="A47" s="2" t="s">
        <v>1062</v>
      </c>
      <c r="E47" s="246" t="s">
        <v>29</v>
      </c>
      <c r="F47" s="673" t="s">
        <v>1049</v>
      </c>
      <c r="G47" s="675" t="str">
        <f>IF(f_year="","",IF(LEN(f_quart)=0,"",IF(f_quart="I квартал","01.01."&amp;f_year,IF(f_quart="II квартал","01.04."&amp;f_year,(IF(f_quart="III квартал","01.07."&amp;f_year,"01.10."&amp;f_year))))))</f>
        <v>01.07.2023</v>
      </c>
      <c r="H47" s="675" t="str">
        <f>IF(f_year="","",IF(LEN(f_quart)=0,"",IF(f_quart="I квартал","31.03."&amp;f_year,IF(f_quart="II квартал","30.06."&amp;f_year,(IF(f_quart="III квартал","30.09."&amp;f_year,"31.12."&amp;f_year))))))</f>
        <v>30.09.2023</v>
      </c>
      <c r="I47" s="983" t="b">
        <f>IF(OR(f_year="",f_quart=""),TRUE,FALSE)</f>
        <v>0</v>
      </c>
      <c r="J47" s="9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751"/>
      <c r="AX47" s="677" t="s">
        <v>1063</v>
      </c>
      <c r="AZ47" s="677" t="s">
        <v>757</v>
      </c>
      <c r="BE47" s="677">
        <v>2045</v>
      </c>
      <c r="BH47" s="643" t="s">
        <v>1035</v>
      </c>
      <c r="BJ47" s="724" t="s">
        <v>1064</v>
      </c>
      <c r="BL47" s="724" t="s">
        <v>1064</v>
      </c>
      <c r="BN47" s="643" t="s">
        <v>1065</v>
      </c>
    </row>
    <row r="48" spans="1:66" ht="11.25" customHeight="1">
      <c r="A48" s="2" t="s">
        <v>1066</v>
      </c>
      <c r="E48" s="246" t="s">
        <v>1067</v>
      </c>
      <c r="F48" s="673" t="s">
        <v>1068</v>
      </c>
      <c r="G48" s="675" t="str">
        <f>IF(f_year="","","01.01."&amp;f_year)</f>
        <v>01.01.2023</v>
      </c>
      <c r="H48" s="675" t="str">
        <f>IF(f_year="","","31.12."&amp;f_year)</f>
        <v>31.12.2023</v>
      </c>
      <c r="I48" s="982" t="b">
        <f>IF(f_year="",TRUE,FALSE)</f>
        <v>0</v>
      </c>
      <c r="J48" s="985" t="s">
        <v>1069</v>
      </c>
      <c r="K48" s="751"/>
      <c r="AX48" s="677" t="s">
        <v>1070</v>
      </c>
      <c r="AZ48" s="677" t="s">
        <v>773</v>
      </c>
      <c r="BE48" s="677">
        <v>2046</v>
      </c>
      <c r="BH48" s="643" t="s">
        <v>1039</v>
      </c>
      <c r="BJ48" s="724" t="s">
        <v>1071</v>
      </c>
      <c r="BL48" s="724" t="s">
        <v>1071</v>
      </c>
      <c r="BN48" s="643" t="s">
        <v>1072</v>
      </c>
    </row>
    <row r="49" spans="1:64" ht="11.25" customHeight="1">
      <c r="A49" s="2" t="s">
        <v>1073</v>
      </c>
      <c r="E49" s="246" t="s">
        <v>1074</v>
      </c>
      <c r="F49" s="673" t="s">
        <v>1075</v>
      </c>
      <c r="G49" s="675" t="str">
        <f>IF(f_year="","","01.01."&amp;f_year)</f>
        <v>01.01.2023</v>
      </c>
      <c r="H49" s="675" t="str">
        <f>IF(f_year="","","31.12."&amp;f_year)</f>
        <v>31.12.2023</v>
      </c>
      <c r="I49" s="982" t="b">
        <f>IF(f_year="",TRUE,FALSE)</f>
        <v>0</v>
      </c>
      <c r="J49" s="9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751"/>
      <c r="AX49" s="677" t="s">
        <v>1076</v>
      </c>
      <c r="AZ49" s="677" t="s">
        <v>789</v>
      </c>
      <c r="BE49" s="677">
        <v>2047</v>
      </c>
      <c r="BH49" s="643" t="s">
        <v>1077</v>
      </c>
      <c r="BJ49" s="724" t="s">
        <v>1078</v>
      </c>
      <c r="BL49" s="724" t="s">
        <v>1078</v>
      </c>
    </row>
    <row r="50" spans="1:64" ht="11.25" customHeight="1">
      <c r="A50" s="2" t="s">
        <v>1079</v>
      </c>
      <c r="E50" s="246" t="s">
        <v>1080</v>
      </c>
      <c r="F50" s="673" t="s">
        <v>1081</v>
      </c>
      <c r="G50" s="675" t="str">
        <f>IF(f_year="","","01.01."&amp;f_year)</f>
        <v>01.01.2023</v>
      </c>
      <c r="H50" s="675" t="str">
        <f>IF(f_year="","","31.12."&amp;f_year)</f>
        <v>31.12.2023</v>
      </c>
      <c r="I50" s="982" t="b">
        <f>IF(f_year="",TRUE,FALSE)</f>
        <v>0</v>
      </c>
      <c r="J50" s="9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751"/>
      <c r="AX50" s="677" t="s">
        <v>1082</v>
      </c>
      <c r="AZ50" s="677" t="s">
        <v>805</v>
      </c>
      <c r="BE50" s="677">
        <v>2048</v>
      </c>
      <c r="BH50" s="643" t="s">
        <v>1046</v>
      </c>
      <c r="BJ50" s="724" t="s">
        <v>1083</v>
      </c>
      <c r="BL50" s="724" t="s">
        <v>1083</v>
      </c>
    </row>
    <row r="51" spans="1:64" ht="11.25" customHeight="1">
      <c r="A51" s="2" t="s">
        <v>1084</v>
      </c>
      <c r="E51" s="246" t="s">
        <v>1085</v>
      </c>
      <c r="F51" s="673" t="s">
        <v>1086</v>
      </c>
      <c r="G51" s="675" t="str">
        <f>IF(TITLE_PERIOD_START="","",TITLE_PERIOD_START)</f>
        <v/>
      </c>
      <c r="H51" s="675" t="str">
        <f>IF(TITLE_PERIOD_END="","",TITLE_PERIOD_END)</f>
        <v/>
      </c>
      <c r="I51" s="983" t="b">
        <f>IF(OR(TITLE_PERIOD_START="",TITLE_PERIOD_END=""),TRUE,FALSE)</f>
        <v>1</v>
      </c>
      <c r="J51" s="9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751"/>
      <c r="AX51" s="677" t="s">
        <v>1087</v>
      </c>
      <c r="AZ51" s="677" t="s">
        <v>821</v>
      </c>
      <c r="BE51" s="677">
        <v>2049</v>
      </c>
      <c r="BH51" s="643" t="s">
        <v>1056</v>
      </c>
      <c r="BJ51" s="724" t="s">
        <v>1088</v>
      </c>
      <c r="BL51" s="724" t="s">
        <v>1088</v>
      </c>
    </row>
    <row r="52" spans="1:64" ht="11.25" customHeight="1">
      <c r="A52" s="2" t="s">
        <v>1089</v>
      </c>
      <c r="E52" s="246" t="s">
        <v>1090</v>
      </c>
      <c r="F52" s="673" t="s">
        <v>1091</v>
      </c>
      <c r="G52" s="675" t="str">
        <f>IF(TITLE_PERIOD_START="","",TITLE_PERIOD_START)</f>
        <v/>
      </c>
      <c r="H52" s="675" t="str">
        <f>IF(TITLE_PERIOD_END="","",TITLE_PERIOD_END)</f>
        <v/>
      </c>
      <c r="I52" s="983" t="b">
        <f>IF(OR(TITLE_PERIOD_START="",TITLE_PERIOD_END=""),TRUE,FALSE)</f>
        <v>1</v>
      </c>
      <c r="J52" s="9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751"/>
      <c r="AX52" s="677" t="s">
        <v>1092</v>
      </c>
      <c r="AZ52" s="677" t="s">
        <v>618</v>
      </c>
      <c r="BE52" s="677">
        <v>2050</v>
      </c>
      <c r="BH52" s="643" t="s">
        <v>1061</v>
      </c>
      <c r="BJ52" s="724" t="s">
        <v>1030</v>
      </c>
      <c r="BL52" s="724" t="s">
        <v>1030</v>
      </c>
    </row>
    <row r="53" spans="1:64" ht="11.25" customHeight="1">
      <c r="A53" s="2" t="s">
        <v>1093</v>
      </c>
      <c r="E53" s="246" t="s">
        <v>1094</v>
      </c>
      <c r="F53" s="673" t="s">
        <v>1094</v>
      </c>
      <c r="G53" s="675" t="str">
        <f>IF(f_year="","","01.01."&amp;f_year)</f>
        <v>01.01.2023</v>
      </c>
      <c r="H53" s="675" t="str">
        <f>IF(f_year="","","31.12."&amp;f_year)</f>
        <v>31.12.2023</v>
      </c>
      <c r="I53" s="982" t="b">
        <f>IF(AND(f_year="",TITLE_DATE_FIL=""),TRUE,FALSE)</f>
        <v>0</v>
      </c>
      <c r="J53" s="985" t="s">
        <v>1095</v>
      </c>
      <c r="K53" s="751"/>
      <c r="AX53" s="677" t="s">
        <v>1096</v>
      </c>
      <c r="BE53" s="677">
        <v>2051</v>
      </c>
      <c r="BH53" s="643" t="s">
        <v>1065</v>
      </c>
      <c r="BJ53" s="724" t="s">
        <v>1035</v>
      </c>
      <c r="BL53" s="724" t="s">
        <v>1035</v>
      </c>
    </row>
    <row r="54" spans="1:64" ht="11.25" customHeight="1">
      <c r="A54" s="2" t="s">
        <v>1097</v>
      </c>
      <c r="AX54" s="677" t="s">
        <v>1098</v>
      </c>
      <c r="AZ54" s="642" t="s">
        <v>1099</v>
      </c>
      <c r="BE54" s="677">
        <v>2052</v>
      </c>
      <c r="BH54" s="643" t="s">
        <v>1072</v>
      </c>
      <c r="BJ54" s="724" t="s">
        <v>1039</v>
      </c>
      <c r="BL54" s="724" t="s">
        <v>1039</v>
      </c>
    </row>
    <row r="55" spans="1:64" ht="11.25" customHeight="1">
      <c r="A55" s="2" t="s">
        <v>1100</v>
      </c>
      <c r="AX55" s="677" t="s">
        <v>1101</v>
      </c>
      <c r="AZ55" s="677" t="s">
        <v>620</v>
      </c>
      <c r="BE55" s="677">
        <v>2053</v>
      </c>
      <c r="BH55" s="191" t="s">
        <v>18</v>
      </c>
      <c r="BJ55" s="724" t="s">
        <v>1077</v>
      </c>
      <c r="BL55" s="724" t="s">
        <v>1077</v>
      </c>
    </row>
    <row r="56" spans="1:64" ht="11.25" customHeight="1">
      <c r="A56" s="2" t="s">
        <v>1102</v>
      </c>
      <c r="D56" s="676" t="s">
        <v>1103</v>
      </c>
      <c r="E56" s="658">
        <v>57</v>
      </c>
      <c r="F56" s="2" t="s">
        <v>1104</v>
      </c>
      <c r="AX56" s="677" t="s">
        <v>1105</v>
      </c>
      <c r="AZ56" s="677" t="s">
        <v>649</v>
      </c>
      <c r="BE56" s="677">
        <v>2054</v>
      </c>
      <c r="BH56" s="191" t="s">
        <v>18</v>
      </c>
      <c r="BJ56" s="724" t="s">
        <v>1046</v>
      </c>
      <c r="BL56" s="724" t="s">
        <v>1046</v>
      </c>
    </row>
    <row r="57" spans="1:64" ht="11.25" customHeight="1">
      <c r="A57" s="2" t="s">
        <v>1106</v>
      </c>
      <c r="D57" s="676" t="s">
        <v>1107</v>
      </c>
      <c r="E57" s="658">
        <v>71</v>
      </c>
      <c r="F57" s="2" t="s">
        <v>1104</v>
      </c>
      <c r="AX57" s="677" t="s">
        <v>1108</v>
      </c>
      <c r="AZ57" s="677" t="s">
        <v>683</v>
      </c>
      <c r="BE57" s="677">
        <v>2055</v>
      </c>
      <c r="BJ57" s="724" t="s">
        <v>1056</v>
      </c>
      <c r="BL57" s="724" t="s">
        <v>1056</v>
      </c>
    </row>
    <row r="58" spans="1:64" ht="11.25" customHeight="1">
      <c r="A58" s="2" t="s">
        <v>1109</v>
      </c>
      <c r="D58" s="676" t="s">
        <v>1110</v>
      </c>
      <c r="E58" s="658">
        <v>44</v>
      </c>
      <c r="F58" s="2" t="s">
        <v>1104</v>
      </c>
      <c r="AX58" s="677" t="s">
        <v>1111</v>
      </c>
      <c r="BE58" s="677">
        <v>2056</v>
      </c>
      <c r="BJ58" s="724" t="s">
        <v>1061</v>
      </c>
      <c r="BL58" s="724" t="s">
        <v>1061</v>
      </c>
    </row>
    <row r="59" spans="1:64" ht="11.25" customHeight="1">
      <c r="A59" s="2" t="s">
        <v>1112</v>
      </c>
      <c r="D59" s="676" t="s">
        <v>147</v>
      </c>
      <c r="E59" s="658" t="s">
        <v>918</v>
      </c>
      <c r="F59" s="2" t="s">
        <v>1113</v>
      </c>
      <c r="AX59" s="677" t="s">
        <v>1114</v>
      </c>
      <c r="AZ59" s="642" t="s">
        <v>1115</v>
      </c>
      <c r="BE59" s="677">
        <v>2057</v>
      </c>
      <c r="BJ59" s="724" t="s">
        <v>1065</v>
      </c>
      <c r="BL59" s="724" t="s">
        <v>1065</v>
      </c>
    </row>
    <row r="60" spans="1:64" ht="11.25" customHeight="1">
      <c r="A60" s="2" t="s">
        <v>1116</v>
      </c>
      <c r="D60" s="676" t="s">
        <v>1117</v>
      </c>
      <c r="E60" s="658" t="s">
        <v>918</v>
      </c>
      <c r="F60" s="2" t="s">
        <v>1113</v>
      </c>
      <c r="AX60" s="677" t="s">
        <v>1118</v>
      </c>
      <c r="AZ60" s="677" t="s">
        <v>621</v>
      </c>
      <c r="BE60" s="677">
        <v>2058</v>
      </c>
      <c r="BJ60" s="724" t="s">
        <v>1072</v>
      </c>
      <c r="BL60" s="724" t="s">
        <v>1072</v>
      </c>
    </row>
    <row r="61" spans="1:64" ht="11.25" customHeight="1">
      <c r="A61" s="2" t="s">
        <v>1119</v>
      </c>
      <c r="D61" s="676" t="s">
        <v>1120</v>
      </c>
      <c r="E61" s="658">
        <v>26</v>
      </c>
      <c r="F61" s="2" t="s">
        <v>1113</v>
      </c>
      <c r="AX61" s="677" t="s">
        <v>1121</v>
      </c>
      <c r="AZ61" s="677" t="s">
        <v>650</v>
      </c>
      <c r="BE61" s="677">
        <v>2059</v>
      </c>
      <c r="BL61" s="724" t="s">
        <v>1122</v>
      </c>
    </row>
    <row r="62" spans="1:64" ht="11.25" customHeight="1">
      <c r="A62" s="2" t="s">
        <v>1123</v>
      </c>
      <c r="D62" s="676" t="s">
        <v>146</v>
      </c>
      <c r="E62" s="658">
        <v>30</v>
      </c>
      <c r="F62" s="2" t="s">
        <v>1113</v>
      </c>
      <c r="AZ62" s="677" t="s">
        <v>684</v>
      </c>
      <c r="BE62" s="677">
        <v>2060</v>
      </c>
      <c r="BL62" s="724" t="s">
        <v>1124</v>
      </c>
    </row>
    <row r="63" spans="1:64" ht="11.25" customHeight="1">
      <c r="A63" s="2" t="s">
        <v>1125</v>
      </c>
      <c r="D63" s="676" t="s">
        <v>1126</v>
      </c>
      <c r="E63" s="658">
        <v>30</v>
      </c>
      <c r="F63" s="2" t="s">
        <v>1113</v>
      </c>
      <c r="AZ63" s="677" t="s">
        <v>716</v>
      </c>
      <c r="BE63" s="677">
        <v>2061</v>
      </c>
    </row>
    <row r="64" spans="1:64" ht="11.25" customHeight="1">
      <c r="A64" s="2" t="s">
        <v>1127</v>
      </c>
      <c r="D64" s="676" t="s">
        <v>1128</v>
      </c>
      <c r="E64" s="658">
        <v>30</v>
      </c>
      <c r="F64" s="2" t="s">
        <v>1113</v>
      </c>
      <c r="AZ64" s="677" t="s">
        <v>739</v>
      </c>
      <c r="BE64" s="677">
        <v>2062</v>
      </c>
    </row>
    <row r="65" spans="1:66" ht="11.25" customHeight="1">
      <c r="A65" s="2" t="s">
        <v>1129</v>
      </c>
      <c r="D65" s="2"/>
      <c r="BE65" s="677">
        <v>2063</v>
      </c>
    </row>
    <row r="66" spans="1:66" ht="11.25" customHeight="1">
      <c r="A66" s="2" t="s">
        <v>1130</v>
      </c>
      <c r="AZ66" s="642" t="s">
        <v>1131</v>
      </c>
      <c r="BE66" s="677">
        <v>2064</v>
      </c>
    </row>
    <row r="67" spans="1:66" ht="11.25" customHeight="1">
      <c r="A67" s="2" t="s">
        <v>1132</v>
      </c>
      <c r="AZ67" s="677" t="s">
        <v>622</v>
      </c>
      <c r="BE67" s="677">
        <v>2065</v>
      </c>
    </row>
    <row r="68" spans="1:66" ht="11.25" customHeight="1">
      <c r="A68" s="2" t="s">
        <v>1133</v>
      </c>
      <c r="AZ68" s="677" t="s">
        <v>651</v>
      </c>
      <c r="BE68" s="677">
        <v>2066</v>
      </c>
      <c r="BH68" s="642" t="s">
        <v>1134</v>
      </c>
      <c r="BJ68" s="642" t="s">
        <v>1135</v>
      </c>
      <c r="BL68" s="642" t="s">
        <v>1136</v>
      </c>
      <c r="BN68" s="642" t="s">
        <v>1137</v>
      </c>
    </row>
    <row r="69" spans="1:66" ht="11.25" customHeight="1">
      <c r="A69" s="2" t="s">
        <v>1138</v>
      </c>
      <c r="AZ69" s="677" t="s">
        <v>685</v>
      </c>
      <c r="BE69" s="677">
        <v>2067</v>
      </c>
      <c r="BH69" s="643" t="s">
        <v>1139</v>
      </c>
      <c r="BI69" s="191" t="s">
        <v>119</v>
      </c>
      <c r="BJ69" s="643" t="s">
        <v>1140</v>
      </c>
      <c r="BK69" s="191" t="s">
        <v>119</v>
      </c>
      <c r="BL69" s="643" t="s">
        <v>1141</v>
      </c>
      <c r="BN69" s="643" t="s">
        <v>1142</v>
      </c>
    </row>
    <row r="70" spans="1:66" ht="11.25" customHeight="1">
      <c r="A70" s="2" t="s">
        <v>1143</v>
      </c>
      <c r="AZ70" s="677" t="s">
        <v>717</v>
      </c>
      <c r="BE70" s="677">
        <v>2068</v>
      </c>
      <c r="BH70" s="643" t="s">
        <v>1144</v>
      </c>
      <c r="BJ70" s="643" t="s">
        <v>1145</v>
      </c>
      <c r="BL70" s="643" t="s">
        <v>1146</v>
      </c>
      <c r="BN70" s="643" t="s">
        <v>1147</v>
      </c>
    </row>
    <row r="71" spans="1:66" ht="11.25" customHeight="1">
      <c r="A71" s="2" t="s">
        <v>1148</v>
      </c>
      <c r="AZ71" s="677" t="s">
        <v>719</v>
      </c>
      <c r="BE71" s="677">
        <v>2069</v>
      </c>
      <c r="BH71" s="643" t="s">
        <v>1149</v>
      </c>
      <c r="BI71" s="191" t="s">
        <v>90</v>
      </c>
      <c r="BJ71" s="643" t="s">
        <v>1150</v>
      </c>
      <c r="BK71" s="191" t="s">
        <v>90</v>
      </c>
      <c r="BL71" s="643" t="s">
        <v>1151</v>
      </c>
      <c r="BN71" s="643" t="s">
        <v>1152</v>
      </c>
    </row>
    <row r="72" spans="1:66" ht="11.25" customHeight="1">
      <c r="A72" s="2" t="s">
        <v>1153</v>
      </c>
      <c r="AZ72" s="677" t="s">
        <v>57</v>
      </c>
      <c r="BE72" s="677">
        <v>2070</v>
      </c>
      <c r="BH72" s="643" t="s">
        <v>1154</v>
      </c>
      <c r="BJ72" s="643" t="s">
        <v>1154</v>
      </c>
      <c r="BL72" s="643" t="s">
        <v>1154</v>
      </c>
      <c r="BN72" s="643" t="s">
        <v>1155</v>
      </c>
    </row>
    <row r="73" spans="1:66" ht="11.25" customHeight="1">
      <c r="A73" s="2" t="s">
        <v>1156</v>
      </c>
      <c r="BH73" s="643" t="s">
        <v>1157</v>
      </c>
      <c r="BI73" s="191" t="s">
        <v>120</v>
      </c>
      <c r="BJ73" s="643" t="s">
        <v>1158</v>
      </c>
      <c r="BK73" s="191" t="s">
        <v>120</v>
      </c>
      <c r="BL73" s="643" t="s">
        <v>1159</v>
      </c>
      <c r="BN73" s="643" t="s">
        <v>1160</v>
      </c>
    </row>
    <row r="74" spans="1:66" ht="11.25" customHeight="1">
      <c r="A74" s="2" t="s">
        <v>1161</v>
      </c>
      <c r="BH74" s="643" t="s">
        <v>1162</v>
      </c>
      <c r="BJ74" s="643" t="s">
        <v>1163</v>
      </c>
      <c r="BL74" s="643" t="s">
        <v>1164</v>
      </c>
      <c r="BN74" s="643" t="s">
        <v>1165</v>
      </c>
    </row>
    <row r="75" spans="1:66" ht="11.25" customHeight="1">
      <c r="A75" s="2" t="s">
        <v>1166</v>
      </c>
      <c r="AZ75" s="642" t="s">
        <v>1167</v>
      </c>
      <c r="BH75" s="643" t="s">
        <v>1168</v>
      </c>
      <c r="BJ75" s="643" t="s">
        <v>1168</v>
      </c>
      <c r="BL75" s="643" t="s">
        <v>1168</v>
      </c>
    </row>
    <row r="76" spans="1:66" ht="11.25" customHeight="1">
      <c r="A76" s="2" t="s">
        <v>1169</v>
      </c>
      <c r="AZ76" s="677" t="s">
        <v>631</v>
      </c>
      <c r="BH76" s="643" t="s">
        <v>1170</v>
      </c>
      <c r="BJ76" s="643" t="s">
        <v>1171</v>
      </c>
      <c r="BL76" s="643" t="s">
        <v>1172</v>
      </c>
    </row>
    <row r="77" spans="1:66" ht="11.25" customHeight="1">
      <c r="A77" s="2" t="s">
        <v>1173</v>
      </c>
      <c r="AZ77" s="677" t="s">
        <v>661</v>
      </c>
    </row>
    <row r="78" spans="1:66" ht="11.25" customHeight="1">
      <c r="A78" s="2" t="s">
        <v>1174</v>
      </c>
      <c r="AZ78" s="677" t="s">
        <v>692</v>
      </c>
    </row>
    <row r="79" spans="1:66" ht="11.25" customHeight="1">
      <c r="A79" s="2" t="s">
        <v>1175</v>
      </c>
      <c r="AZ79" s="677" t="s">
        <v>723</v>
      </c>
      <c r="BH79" s="642" t="s">
        <v>1176</v>
      </c>
      <c r="BJ79" s="642" t="s">
        <v>1177</v>
      </c>
      <c r="BL79" s="642" t="s">
        <v>1178</v>
      </c>
    </row>
    <row r="80" spans="1:66" ht="11.25" customHeight="1">
      <c r="A80" s="2" t="s">
        <v>1179</v>
      </c>
      <c r="AZ80" s="677" t="s">
        <v>744</v>
      </c>
      <c r="BH80" s="643" t="s">
        <v>1180</v>
      </c>
      <c r="BJ80" s="643" t="s">
        <v>1181</v>
      </c>
      <c r="BL80" s="643" t="s">
        <v>1182</v>
      </c>
    </row>
    <row r="81" spans="1:66" ht="11.25" customHeight="1">
      <c r="A81" s="2" t="s">
        <v>14</v>
      </c>
      <c r="AZ81" s="677" t="s">
        <v>761</v>
      </c>
      <c r="BH81" s="643" t="s">
        <v>1183</v>
      </c>
      <c r="BJ81" s="643" t="s">
        <v>1184</v>
      </c>
      <c r="BL81" s="643" t="s">
        <v>1185</v>
      </c>
    </row>
    <row r="82" spans="1:66" ht="11.25" customHeight="1">
      <c r="A82" s="2" t="s">
        <v>1186</v>
      </c>
      <c r="AZ82" s="677" t="s">
        <v>775</v>
      </c>
      <c r="BH82" s="643" t="s">
        <v>1187</v>
      </c>
      <c r="BJ82" s="643" t="s">
        <v>1188</v>
      </c>
      <c r="BL82" s="643" t="s">
        <v>1189</v>
      </c>
    </row>
    <row r="83" spans="1:66" ht="11.25" customHeight="1">
      <c r="A83" s="2" t="s">
        <v>1190</v>
      </c>
      <c r="BH83" s="643" t="s">
        <v>1191</v>
      </c>
      <c r="BJ83" s="643" t="s">
        <v>1192</v>
      </c>
      <c r="BL83" s="643" t="s">
        <v>1193</v>
      </c>
    </row>
    <row r="84" spans="1:66" ht="11.25" customHeight="1">
      <c r="A84" s="2" t="s">
        <v>1194</v>
      </c>
      <c r="AZ84" s="642" t="s">
        <v>1195</v>
      </c>
    </row>
    <row r="85" spans="1:66" ht="11.25" customHeight="1">
      <c r="A85" s="2" t="s">
        <v>1196</v>
      </c>
      <c r="AZ85" s="677" t="s">
        <v>1197</v>
      </c>
    </row>
    <row r="86" spans="1:66" ht="11.25" customHeight="1">
      <c r="A86" s="2" t="s">
        <v>1198</v>
      </c>
      <c r="AZ86" s="677" t="s">
        <v>1199</v>
      </c>
      <c r="BH86" s="642" t="s">
        <v>1200</v>
      </c>
      <c r="BJ86" s="642" t="s">
        <v>1201</v>
      </c>
      <c r="BL86" s="642" t="s">
        <v>1202</v>
      </c>
    </row>
    <row r="87" spans="1:66" ht="11.25" customHeight="1">
      <c r="A87" s="2" t="s">
        <v>1203</v>
      </c>
      <c r="AZ87" s="677" t="s">
        <v>1204</v>
      </c>
      <c r="BH87" s="643" t="s">
        <v>1205</v>
      </c>
      <c r="BJ87" s="643" t="s">
        <v>1206</v>
      </c>
      <c r="BL87" s="643" t="s">
        <v>1207</v>
      </c>
    </row>
    <row r="88" spans="1:66" ht="11.25" customHeight="1">
      <c r="AZ88"/>
      <c r="BH88" s="643" t="s">
        <v>1208</v>
      </c>
      <c r="BJ88" s="643" t="s">
        <v>1209</v>
      </c>
      <c r="BL88" s="643" t="s">
        <v>1210</v>
      </c>
    </row>
    <row r="89" spans="1:66" ht="11.25" customHeight="1">
      <c r="AZ89" s="642" t="s">
        <v>1211</v>
      </c>
    </row>
    <row r="90" spans="1:66" ht="11.25" customHeight="1">
      <c r="AZ90" s="677" t="s">
        <v>1081</v>
      </c>
    </row>
    <row r="91" spans="1:66" ht="11.25" customHeight="1">
      <c r="AZ91" s="677" t="s">
        <v>1212</v>
      </c>
      <c r="BH91" s="642" t="s">
        <v>1213</v>
      </c>
      <c r="BJ91" s="642" t="s">
        <v>1214</v>
      </c>
      <c r="BL91" s="642" t="s">
        <v>1215</v>
      </c>
    </row>
    <row r="92" spans="1:66" ht="11.25" customHeight="1">
      <c r="AZ92" s="677" t="s">
        <v>1216</v>
      </c>
      <c r="BH92" s="643" t="s">
        <v>1217</v>
      </c>
      <c r="BJ92" s="643" t="s">
        <v>1218</v>
      </c>
      <c r="BL92" s="643" t="s">
        <v>1219</v>
      </c>
    </row>
    <row r="93" spans="1:66" ht="11.25" customHeight="1">
      <c r="AZ93" s="677" t="s">
        <v>1220</v>
      </c>
      <c r="BH93" s="643" t="s">
        <v>1221</v>
      </c>
      <c r="BJ93" s="643" t="s">
        <v>1222</v>
      </c>
      <c r="BL93" s="643" t="s">
        <v>1223</v>
      </c>
    </row>
    <row r="94" spans="1:66" ht="11.25" customHeight="1">
      <c r="AZ94" s="677" t="s">
        <v>1224</v>
      </c>
    </row>
    <row r="96" spans="1:66" ht="11.25" customHeight="1">
      <c r="AZ96" s="642" t="s">
        <v>1225</v>
      </c>
      <c r="BH96" s="642" t="s">
        <v>1226</v>
      </c>
      <c r="BJ96" s="642" t="s">
        <v>1227</v>
      </c>
      <c r="BL96" s="642" t="s">
        <v>1228</v>
      </c>
      <c r="BN96" s="642" t="s">
        <v>1229</v>
      </c>
    </row>
    <row r="97" spans="52:66" ht="11.25" customHeight="1">
      <c r="AZ97" s="677" t="s">
        <v>1230</v>
      </c>
      <c r="BH97" s="643" t="s">
        <v>1231</v>
      </c>
      <c r="BJ97" s="643" t="s">
        <v>1232</v>
      </c>
      <c r="BL97" s="643" t="s">
        <v>1233</v>
      </c>
      <c r="BN97" s="643" t="s">
        <v>1234</v>
      </c>
    </row>
    <row r="98" spans="52:66" ht="11.25" customHeight="1">
      <c r="AZ98" s="677" t="s">
        <v>1235</v>
      </c>
      <c r="BH98" s="643" t="s">
        <v>1236</v>
      </c>
      <c r="BJ98" s="643" t="s">
        <v>1237</v>
      </c>
      <c r="BL98" s="643" t="s">
        <v>1238</v>
      </c>
      <c r="BN98" s="643" t="s">
        <v>1239</v>
      </c>
    </row>
    <row r="99" spans="52:66" ht="11.25" customHeight="1">
      <c r="AZ99" s="677" t="s">
        <v>1240</v>
      </c>
      <c r="BH99" s="643" t="s">
        <v>1241</v>
      </c>
      <c r="BJ99" s="643" t="s">
        <v>1242</v>
      </c>
      <c r="BL99" s="643" t="s">
        <v>1243</v>
      </c>
      <c r="BN99" s="643" t="s">
        <v>1244</v>
      </c>
    </row>
    <row r="100" spans="52:66" ht="11.25" customHeight="1">
      <c r="BJ100" s="643" t="s">
        <v>821</v>
      </c>
      <c r="BL100" s="643" t="s">
        <v>821</v>
      </c>
      <c r="BN100" s="643" t="s">
        <v>1245</v>
      </c>
    </row>
    <row r="101" spans="52:66" ht="11.25" customHeight="1">
      <c r="AZ101" s="642" t="s">
        <v>1246</v>
      </c>
      <c r="BN101" s="643" t="s">
        <v>1247</v>
      </c>
    </row>
    <row r="102" spans="52:66" ht="11.25" customHeight="1">
      <c r="AZ102" s="677" t="s">
        <v>1248</v>
      </c>
      <c r="BN102" s="643" t="s">
        <v>1249</v>
      </c>
    </row>
    <row r="103" spans="52:66" ht="11.25" customHeight="1">
      <c r="AZ103" s="677" t="s">
        <v>1250</v>
      </c>
      <c r="BN103" s="643" t="s">
        <v>1251</v>
      </c>
    </row>
    <row r="104" spans="52:66" ht="11.25" customHeight="1">
      <c r="AZ104" s="677" t="s">
        <v>1252</v>
      </c>
      <c r="BN104" s="643" t="s">
        <v>1253</v>
      </c>
    </row>
    <row r="107" spans="52:66" ht="11.25" customHeight="1">
      <c r="BH107" s="642" t="s">
        <v>1254</v>
      </c>
      <c r="BJ107" s="642" t="s">
        <v>1255</v>
      </c>
      <c r="BL107" s="642" t="s">
        <v>1256</v>
      </c>
      <c r="BN107" s="642" t="s">
        <v>1257</v>
      </c>
    </row>
    <row r="108" spans="52:66" ht="11.25" customHeight="1">
      <c r="BH108" s="643" t="s">
        <v>1258</v>
      </c>
      <c r="BJ108" s="643" t="s">
        <v>1259</v>
      </c>
      <c r="BL108" s="643" t="s">
        <v>906</v>
      </c>
      <c r="BN108" s="643" t="s">
        <v>1260</v>
      </c>
    </row>
    <row r="109" spans="52:66" ht="11.25" customHeight="1">
      <c r="BH109" s="643" t="s">
        <v>1261</v>
      </c>
    </row>
    <row r="110" spans="52:66" ht="11.25" customHeight="1">
      <c r="BH110" s="643" t="s">
        <v>1261</v>
      </c>
    </row>
    <row r="114" spans="60:60" ht="11.25" customHeight="1">
      <c r="BH114" s="642" t="s">
        <v>1262</v>
      </c>
    </row>
    <row r="115" spans="60:60" ht="11.25" customHeight="1">
      <c r="BH115" s="643" t="s">
        <v>618</v>
      </c>
    </row>
    <row r="116" spans="60:60" ht="11.25" customHeight="1">
      <c r="BH116" s="643" t="s">
        <v>647</v>
      </c>
    </row>
    <row r="117" spans="60:60" ht="11.25" customHeight="1">
      <c r="BH117" s="643" t="s">
        <v>681</v>
      </c>
    </row>
    <row r="118" spans="60:60" ht="11.25" customHeight="1">
      <c r="BH118" s="643" t="s">
        <v>714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F60FA-664C-6031-7CB6-964C773B048A}">
  <sheetPr>
    <tabColor rgb="FFFFCC99"/>
  </sheetPr>
  <dimension ref="A1:H34"/>
  <sheetViews>
    <sheetView showGridLines="0" workbookViewId="0"/>
  </sheetViews>
  <sheetFormatPr defaultColWidth="43.140625" defaultRowHeight="9" customHeight="1"/>
  <cols>
    <col min="1" max="3" width="43.140625" style="490"/>
    <col min="4" max="5" width="36.42578125" style="490" customWidth="1"/>
    <col min="6" max="8" width="36.42578125" style="582" customWidth="1"/>
  </cols>
  <sheetData>
    <row r="1" spans="1:8" ht="9" customHeight="1">
      <c r="A1" s="496" t="s">
        <v>1263</v>
      </c>
      <c r="B1" s="496"/>
      <c r="C1" s="583" t="s">
        <v>1264</v>
      </c>
      <c r="D1" s="581" t="s">
        <v>606</v>
      </c>
      <c r="E1" s="581" t="s">
        <v>994</v>
      </c>
      <c r="F1" s="581" t="s">
        <v>608</v>
      </c>
      <c r="G1" s="581" t="s">
        <v>1017</v>
      </c>
      <c r="H1" s="581" t="s">
        <v>1025</v>
      </c>
    </row>
    <row r="2" spans="1:8" ht="9" customHeight="1">
      <c r="A2" s="584" t="s">
        <v>1265</v>
      </c>
      <c r="B2" s="584"/>
      <c r="C2" s="585" t="str">
        <f>INDEX(TEMPLATE_NUMBER_FORM_LIST,MATCH(TEMPLATE_SPHERE,TEMPLATE_SPHERE_LIST,0))</f>
        <v>10</v>
      </c>
      <c r="D2" s="584" t="s">
        <v>99</v>
      </c>
      <c r="E2" s="584" t="s">
        <v>165</v>
      </c>
      <c r="F2" s="586" t="s">
        <v>165</v>
      </c>
      <c r="G2" s="584" t="s">
        <v>165</v>
      </c>
      <c r="H2" s="587"/>
    </row>
    <row r="3" spans="1:8" ht="63" customHeight="1">
      <c r="A3" s="496"/>
      <c r="B3" s="496" t="s">
        <v>119</v>
      </c>
      <c r="C3" s="5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85" t="s">
        <v>1266</v>
      </c>
      <c r="E3" s="5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86"/>
      <c r="G3" s="587"/>
      <c r="H3" s="496"/>
    </row>
    <row r="4" spans="1:8" ht="54" customHeight="1">
      <c r="A4" s="496" t="s">
        <v>1267</v>
      </c>
      <c r="B4" s="496" t="s">
        <v>103</v>
      </c>
      <c r="C4" s="5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584" t="s">
        <v>1268</v>
      </c>
      <c r="E4" s="5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584"/>
      <c r="G4" s="584"/>
      <c r="H4" s="496" t="s">
        <v>1269</v>
      </c>
    </row>
    <row r="5" spans="1:8" ht="171" customHeight="1">
      <c r="A5" s="496" t="s">
        <v>1270</v>
      </c>
      <c r="B5" s="496" t="s">
        <v>90</v>
      </c>
      <c r="C5" s="5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96" t="s">
        <v>1271</v>
      </c>
      <c r="E5" s="49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87"/>
      <c r="G5" s="587"/>
      <c r="H5" s="496" t="s">
        <v>1272</v>
      </c>
    </row>
    <row r="6" spans="1:8" ht="90" customHeight="1">
      <c r="A6" s="496" t="s">
        <v>1273</v>
      </c>
      <c r="B6" s="496" t="s">
        <v>91</v>
      </c>
      <c r="C6" s="5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496" t="s">
        <v>1274</v>
      </c>
      <c r="E6" s="49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496"/>
      <c r="G6" s="496"/>
      <c r="H6" s="587"/>
    </row>
    <row r="7" spans="1:8" ht="45" customHeight="1">
      <c r="A7" s="496" t="s">
        <v>1275</v>
      </c>
      <c r="B7" s="496" t="s">
        <v>120</v>
      </c>
      <c r="C7" s="5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96" t="s">
        <v>1276</v>
      </c>
      <c r="E7" s="496" t="s">
        <v>1277</v>
      </c>
      <c r="F7" s="587"/>
      <c r="G7" s="587"/>
      <c r="H7" s="587"/>
    </row>
    <row r="8" spans="1:8" ht="108" customHeight="1">
      <c r="A8" s="496" t="s">
        <v>1278</v>
      </c>
      <c r="B8" s="496" t="s">
        <v>92</v>
      </c>
      <c r="C8" s="5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496" t="s">
        <v>1279</v>
      </c>
      <c r="E8" s="496" t="s">
        <v>1280</v>
      </c>
      <c r="F8" s="587"/>
      <c r="G8" s="587"/>
      <c r="H8" s="587"/>
    </row>
    <row r="9" spans="1:8" ht="99" customHeight="1">
      <c r="A9" s="496" t="s">
        <v>1281</v>
      </c>
      <c r="B9" s="496"/>
      <c r="C9" s="496" t="s">
        <v>1282</v>
      </c>
      <c r="D9" s="496"/>
      <c r="E9" s="496"/>
      <c r="F9" s="587"/>
      <c r="G9" s="587"/>
      <c r="H9" s="587"/>
    </row>
    <row r="10" spans="1:8" ht="126" customHeight="1">
      <c r="A10" s="496" t="s">
        <v>1283</v>
      </c>
      <c r="B10" s="496"/>
      <c r="C10" s="496" t="s">
        <v>1284</v>
      </c>
      <c r="D10" s="496"/>
      <c r="E10" s="496"/>
      <c r="F10" s="587"/>
      <c r="G10" s="587"/>
      <c r="H10" s="587"/>
    </row>
    <row r="11" spans="1:8" ht="108" customHeight="1">
      <c r="A11" s="496" t="s">
        <v>1285</v>
      </c>
      <c r="B11" s="496"/>
      <c r="C11" s="496" t="s">
        <v>1286</v>
      </c>
      <c r="D11" s="496"/>
      <c r="E11" s="496"/>
      <c r="F11" s="587"/>
      <c r="G11" s="587"/>
      <c r="H11" s="587"/>
    </row>
    <row r="12" spans="1:8" ht="54" customHeight="1">
      <c r="A12" s="496" t="s">
        <v>1287</v>
      </c>
      <c r="B12" s="496"/>
      <c r="C12" s="496" t="s">
        <v>1288</v>
      </c>
      <c r="D12" s="496"/>
      <c r="E12" s="496"/>
      <c r="F12" s="587"/>
      <c r="G12" s="587"/>
      <c r="H12" s="587"/>
    </row>
    <row r="13" spans="1:8" ht="45" customHeight="1">
      <c r="A13" s="496" t="s">
        <v>1289</v>
      </c>
      <c r="B13" s="496"/>
      <c r="C13" s="496" t="s">
        <v>1290</v>
      </c>
      <c r="D13" s="496"/>
      <c r="E13" s="496"/>
      <c r="F13" s="587"/>
      <c r="G13" s="587"/>
      <c r="H13" s="587"/>
    </row>
    <row r="14" spans="1:8" ht="117" customHeight="1">
      <c r="A14" s="496" t="s">
        <v>1291</v>
      </c>
      <c r="B14" s="496"/>
      <c r="C14" s="496" t="s">
        <v>1292</v>
      </c>
      <c r="D14" s="496"/>
      <c r="E14" s="496"/>
      <c r="F14" s="587"/>
      <c r="G14" s="587"/>
      <c r="H14" s="587"/>
    </row>
    <row r="15" spans="1:8" ht="117" customHeight="1">
      <c r="A15" s="496" t="s">
        <v>1293</v>
      </c>
      <c r="B15" s="496"/>
      <c r="C15" s="496" t="s">
        <v>1294</v>
      </c>
      <c r="D15" s="496"/>
      <c r="E15" s="496"/>
      <c r="F15" s="587"/>
      <c r="G15" s="587"/>
      <c r="H15" s="587"/>
    </row>
    <row r="16" spans="1:8" ht="63" customHeight="1">
      <c r="A16" s="496" t="s">
        <v>1295</v>
      </c>
      <c r="B16" s="496"/>
      <c r="C16" s="496" t="s">
        <v>1296</v>
      </c>
      <c r="D16" s="496"/>
      <c r="E16" s="496"/>
      <c r="F16" s="587"/>
      <c r="G16" s="587"/>
      <c r="H16" s="587"/>
    </row>
    <row r="17" spans="1:8" ht="63" customHeight="1">
      <c r="A17" s="496" t="s">
        <v>1297</v>
      </c>
      <c r="B17" s="496"/>
      <c r="C17" s="585" t="s">
        <v>1298</v>
      </c>
      <c r="D17" s="496"/>
      <c r="E17" s="496"/>
      <c r="F17" s="587"/>
      <c r="G17" s="587"/>
      <c r="H17" s="587"/>
    </row>
    <row r="18" spans="1:8" ht="27" customHeight="1">
      <c r="A18" s="496" t="s">
        <v>1299</v>
      </c>
      <c r="B18" s="496"/>
      <c r="C18" s="585" t="s">
        <v>1300</v>
      </c>
      <c r="D18" s="496"/>
      <c r="E18" s="496"/>
      <c r="F18" s="587"/>
      <c r="G18" s="587"/>
      <c r="H18" s="587"/>
    </row>
    <row r="19" spans="1:8" ht="54" customHeight="1">
      <c r="A19" s="496" t="s">
        <v>1301</v>
      </c>
      <c r="B19" s="496"/>
      <c r="C19" s="585" t="s">
        <v>1302</v>
      </c>
      <c r="D19" s="496"/>
      <c r="E19" s="496"/>
      <c r="F19" s="587"/>
      <c r="G19" s="587"/>
      <c r="H19" s="587"/>
    </row>
    <row r="20" spans="1:8" ht="36" customHeight="1">
      <c r="A20" s="496" t="s">
        <v>1303</v>
      </c>
      <c r="B20" s="496"/>
      <c r="C20" s="585" t="s">
        <v>1304</v>
      </c>
      <c r="D20" s="496"/>
      <c r="E20" s="496"/>
      <c r="F20" s="587"/>
      <c r="G20" s="587"/>
      <c r="H20" s="587"/>
    </row>
    <row r="21" spans="1:8" ht="28.5" customHeight="1">
      <c r="A21" s="496" t="s">
        <v>1305</v>
      </c>
      <c r="B21" s="496"/>
      <c r="C21" s="585" t="s">
        <v>1306</v>
      </c>
      <c r="D21" s="496"/>
      <c r="E21" s="496"/>
      <c r="F21" s="587"/>
      <c r="G21" s="587"/>
      <c r="H21" s="587"/>
    </row>
    <row r="22" spans="1:8" ht="28.5" customHeight="1">
      <c r="A22" s="496" t="s">
        <v>1307</v>
      </c>
      <c r="B22" s="496"/>
      <c r="C22" s="585" t="s">
        <v>1308</v>
      </c>
      <c r="D22" s="496"/>
      <c r="E22" s="496"/>
      <c r="F22" s="587"/>
      <c r="G22" s="587"/>
      <c r="H22" s="587"/>
    </row>
    <row r="23" spans="1:8" ht="28.5" customHeight="1">
      <c r="A23" s="496" t="s">
        <v>1309</v>
      </c>
      <c r="B23" s="496"/>
      <c r="C23" s="585" t="s">
        <v>1310</v>
      </c>
      <c r="D23" s="496"/>
      <c r="E23" s="496"/>
      <c r="F23" s="587"/>
      <c r="G23" s="587"/>
      <c r="H23" s="587"/>
    </row>
    <row r="24" spans="1:8" ht="28.5" customHeight="1">
      <c r="A24" s="496" t="s">
        <v>1311</v>
      </c>
      <c r="B24" s="496"/>
      <c r="C24" s="585" t="s">
        <v>1312</v>
      </c>
      <c r="D24" s="496"/>
      <c r="E24" s="496"/>
      <c r="F24" s="587"/>
      <c r="G24" s="587"/>
      <c r="H24" s="587"/>
    </row>
    <row r="25" spans="1:8" ht="28.5" customHeight="1">
      <c r="A25" s="496" t="s">
        <v>1313</v>
      </c>
      <c r="B25" s="496"/>
      <c r="C25" s="585" t="s">
        <v>1314</v>
      </c>
      <c r="D25" s="496"/>
      <c r="E25" s="496"/>
      <c r="F25" s="587"/>
      <c r="G25" s="587"/>
      <c r="H25" s="587"/>
    </row>
    <row r="26" spans="1:8" ht="28.5" customHeight="1">
      <c r="A26" s="496" t="s">
        <v>1315</v>
      </c>
      <c r="B26" s="496"/>
      <c r="C26" s="585" t="s">
        <v>1316</v>
      </c>
      <c r="D26" s="496"/>
      <c r="E26" s="496"/>
      <c r="F26" s="587"/>
      <c r="G26" s="587"/>
      <c r="H26" s="587"/>
    </row>
    <row r="27" spans="1:8" ht="28.5" customHeight="1">
      <c r="A27" s="496" t="s">
        <v>1317</v>
      </c>
      <c r="B27" s="496"/>
      <c r="C27" s="585" t="s">
        <v>1318</v>
      </c>
      <c r="D27" s="496"/>
      <c r="E27" s="496"/>
      <c r="F27" s="587"/>
      <c r="G27" s="587"/>
      <c r="H27" s="587"/>
    </row>
    <row r="28" spans="1:8" ht="28.5" customHeight="1">
      <c r="A28" s="496" t="s">
        <v>1319</v>
      </c>
      <c r="B28" s="496"/>
      <c r="C28" s="585" t="s">
        <v>1320</v>
      </c>
      <c r="D28" s="496"/>
      <c r="E28" s="496"/>
      <c r="F28" s="587"/>
      <c r="G28" s="587"/>
      <c r="H28" s="587"/>
    </row>
    <row r="29" spans="1:8" ht="126" customHeight="1">
      <c r="A29" s="496" t="s">
        <v>1321</v>
      </c>
      <c r="B29" s="496" t="s">
        <v>973</v>
      </c>
      <c r="C29" s="5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496" t="s">
        <v>1322</v>
      </c>
      <c r="E29" s="49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587"/>
      <c r="G29" s="587"/>
      <c r="H29" s="496" t="s">
        <v>1323</v>
      </c>
    </row>
    <row r="30" spans="1:8" ht="36" customHeight="1">
      <c r="A30" s="496" t="s">
        <v>1324</v>
      </c>
      <c r="B30" s="496"/>
      <c r="C30" s="5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496" t="s">
        <v>1325</v>
      </c>
      <c r="E30" s="49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587"/>
      <c r="G30" s="587"/>
      <c r="H30" s="587"/>
    </row>
    <row r="31" spans="1:8" ht="9" customHeight="1">
      <c r="A31" s="496"/>
      <c r="B31" s="496"/>
      <c r="C31" s="585"/>
      <c r="D31" s="496"/>
      <c r="E31" s="496"/>
      <c r="F31" s="587"/>
      <c r="G31" s="587"/>
      <c r="H31" s="587"/>
    </row>
    <row r="32" spans="1:8" ht="9" customHeight="1">
      <c r="A32" s="496"/>
      <c r="B32" s="496"/>
      <c r="C32" s="585"/>
      <c r="D32" s="496"/>
      <c r="E32" s="496"/>
      <c r="F32" s="587"/>
      <c r="G32" s="587"/>
      <c r="H32" s="587"/>
    </row>
    <row r="33" spans="1:8" ht="9" customHeight="1">
      <c r="A33" s="496"/>
      <c r="B33" s="496"/>
      <c r="C33" s="585"/>
      <c r="D33" s="496"/>
      <c r="E33" s="496"/>
      <c r="F33" s="587"/>
      <c r="G33" s="587"/>
      <c r="H33" s="587"/>
    </row>
    <row r="34" spans="1:8" ht="9" customHeight="1">
      <c r="A34" s="496"/>
      <c r="B34" s="496" t="s">
        <v>909</v>
      </c>
      <c r="C34" s="585">
        <f>INDEX(TEMPLATE_NAME_FORM_LIST,B34,MATCH(TEMPLATE_SPHERE,TEMPLATE_SPHERE_LIST,0))</f>
        <v>0</v>
      </c>
      <c r="D34" s="496"/>
      <c r="E34" s="496"/>
      <c r="F34" s="587"/>
      <c r="G34" s="587"/>
      <c r="H34" s="58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BE5D5-F13A-1055-ED97-0C55BA82E151}">
  <sheetPr>
    <tabColor rgb="FFFFCC99"/>
  </sheetPr>
  <dimension ref="A1:AH154"/>
  <sheetViews>
    <sheetView showGridLines="0" workbookViewId="0"/>
  </sheetViews>
  <sheetFormatPr defaultColWidth="9.140625" defaultRowHeight="9" customHeight="1"/>
  <cols>
    <col min="1" max="2" width="9.140625" style="490"/>
    <col min="3" max="7" width="8" style="492" customWidth="1"/>
    <col min="8" max="12" width="8.5703125" style="492" customWidth="1"/>
    <col min="13" max="14" width="27.7109375" style="492" customWidth="1"/>
    <col min="15" max="19" width="5.140625" style="492" customWidth="1"/>
    <col min="20" max="24" width="27.7109375" style="492" customWidth="1"/>
    <col min="25" max="25" width="1.85546875" style="600" customWidth="1"/>
    <col min="26" max="26" width="27.7109375" style="490" customWidth="1"/>
    <col min="27" max="27" width="27.7109375" style="501" customWidth="1"/>
    <col min="28" max="29" width="27.7109375" style="490" customWidth="1"/>
    <col min="30" max="30" width="3.85546875" style="490" customWidth="1"/>
    <col min="31" max="34" width="9.140625" style="490"/>
  </cols>
  <sheetData>
    <row r="1" spans="1:34" s="489" customFormat="1" ht="18" customHeight="1">
      <c r="A1" s="535"/>
      <c r="B1" s="535"/>
      <c r="C1" s="535" t="s">
        <v>1326</v>
      </c>
      <c r="D1" s="535"/>
      <c r="E1" s="535"/>
      <c r="F1" s="535"/>
      <c r="G1" s="535"/>
      <c r="H1" s="535" t="s">
        <v>1327</v>
      </c>
      <c r="I1" s="535"/>
      <c r="J1" s="535"/>
      <c r="K1" s="535"/>
      <c r="L1" s="535"/>
      <c r="M1" s="535" t="s">
        <v>1328</v>
      </c>
      <c r="N1" s="535" t="s">
        <v>1329</v>
      </c>
      <c r="O1" s="1347" t="s">
        <v>1330</v>
      </c>
      <c r="P1" s="1347"/>
      <c r="Q1" s="1347"/>
      <c r="R1" s="1347"/>
      <c r="S1" s="1347"/>
      <c r="T1" s="1347" t="s">
        <v>1328</v>
      </c>
      <c r="U1" s="1347"/>
      <c r="V1" s="1347"/>
      <c r="W1" s="1347"/>
      <c r="X1" s="1347"/>
      <c r="Y1" s="598"/>
      <c r="Z1" s="1347" t="s">
        <v>1331</v>
      </c>
      <c r="AA1" s="1347"/>
      <c r="AB1" s="1347"/>
      <c r="AC1" s="1347"/>
      <c r="AD1" s="1347"/>
    </row>
    <row r="2" spans="1:34" ht="18" customHeight="1">
      <c r="A2" s="496"/>
      <c r="B2" s="496"/>
      <c r="C2" s="491" t="s">
        <v>606</v>
      </c>
      <c r="D2" s="491" t="s">
        <v>994</v>
      </c>
      <c r="E2" s="491" t="s">
        <v>608</v>
      </c>
      <c r="F2" s="491" t="s">
        <v>1017</v>
      </c>
      <c r="G2" s="491" t="s">
        <v>1025</v>
      </c>
      <c r="H2" s="493"/>
      <c r="I2" s="493"/>
      <c r="J2" s="493"/>
      <c r="K2" s="493"/>
      <c r="L2" s="493"/>
      <c r="M2" s="493"/>
      <c r="N2" s="493"/>
      <c r="O2" s="491" t="s">
        <v>606</v>
      </c>
      <c r="P2" s="491" t="s">
        <v>994</v>
      </c>
      <c r="Q2" s="491" t="s">
        <v>1017</v>
      </c>
      <c r="R2" s="491" t="s">
        <v>608</v>
      </c>
      <c r="S2" s="491" t="s">
        <v>1025</v>
      </c>
      <c r="T2" s="491" t="s">
        <v>606</v>
      </c>
      <c r="U2" s="491" t="s">
        <v>994</v>
      </c>
      <c r="V2" s="491" t="s">
        <v>1017</v>
      </c>
      <c r="W2" s="491" t="s">
        <v>608</v>
      </c>
      <c r="X2" s="491" t="s">
        <v>1025</v>
      </c>
      <c r="Y2" s="491"/>
      <c r="Z2" s="491" t="s">
        <v>606</v>
      </c>
      <c r="AA2" s="500" t="s">
        <v>994</v>
      </c>
      <c r="AB2" s="491" t="s">
        <v>1017</v>
      </c>
      <c r="AC2" s="491" t="s">
        <v>608</v>
      </c>
      <c r="AD2" s="491" t="s">
        <v>1025</v>
      </c>
    </row>
    <row r="3" spans="1:34" ht="162" customHeight="1">
      <c r="A3" s="495" t="s">
        <v>23</v>
      </c>
      <c r="B3" s="495"/>
      <c r="C3" s="1351" t="s">
        <v>1332</v>
      </c>
      <c r="D3" s="1352"/>
      <c r="E3" s="1352"/>
      <c r="F3" s="1353"/>
      <c r="G3" s="493"/>
      <c r="H3" s="493"/>
      <c r="I3" s="493"/>
      <c r="J3" s="493"/>
      <c r="K3" s="493"/>
      <c r="L3" s="493"/>
      <c r="M3" s="493"/>
      <c r="N3" s="49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93"/>
      <c r="P3" s="493"/>
      <c r="Q3" s="493"/>
      <c r="R3" s="493"/>
      <c r="S3" s="493"/>
      <c r="T3" s="493"/>
      <c r="U3" s="493"/>
      <c r="V3" s="493"/>
      <c r="W3" s="493"/>
      <c r="X3" s="493"/>
      <c r="Y3" s="599"/>
      <c r="Z3" s="496" t="s">
        <v>1333</v>
      </c>
      <c r="AA3" s="493" t="s">
        <v>1334</v>
      </c>
      <c r="AB3" s="496" t="s">
        <v>1335</v>
      </c>
      <c r="AC3" s="496" t="s">
        <v>1336</v>
      </c>
      <c r="AD3" s="496"/>
      <c r="AG3" s="496"/>
      <c r="AH3" s="496"/>
    </row>
    <row r="4" spans="1:34" ht="9" customHeight="1">
      <c r="A4" s="495"/>
      <c r="B4" s="495"/>
      <c r="C4" s="493"/>
      <c r="D4" s="493"/>
      <c r="E4" s="493"/>
      <c r="F4" s="493"/>
      <c r="G4" s="493"/>
      <c r="H4" s="493"/>
      <c r="I4" s="493"/>
      <c r="J4" s="493"/>
      <c r="K4" s="493"/>
      <c r="L4" s="493"/>
      <c r="M4" s="493"/>
      <c r="N4" s="493"/>
      <c r="O4" s="493"/>
      <c r="P4" s="493"/>
      <c r="Q4" s="493"/>
      <c r="R4" s="493"/>
      <c r="S4" s="493"/>
      <c r="T4" s="493"/>
      <c r="U4" s="493"/>
      <c r="V4" s="493"/>
      <c r="W4" s="493"/>
      <c r="X4" s="493"/>
      <c r="Y4" s="599"/>
      <c r="Z4" s="496"/>
      <c r="AA4" s="499"/>
      <c r="AB4" s="496"/>
      <c r="AC4" s="496"/>
      <c r="AD4" s="496"/>
    </row>
    <row r="5" spans="1:34" ht="9" customHeight="1">
      <c r="A5" s="495"/>
      <c r="B5" s="495"/>
      <c r="C5" s="493"/>
      <c r="D5" s="493"/>
      <c r="E5" s="493"/>
      <c r="F5" s="493"/>
      <c r="G5" s="493"/>
      <c r="H5" s="493"/>
      <c r="I5" s="493"/>
      <c r="J5" s="493"/>
      <c r="K5" s="493"/>
      <c r="L5" s="493"/>
      <c r="M5" s="493"/>
      <c r="N5" s="493"/>
      <c r="O5" s="493"/>
      <c r="P5" s="493"/>
      <c r="Q5" s="493"/>
      <c r="R5" s="493"/>
      <c r="S5" s="493"/>
      <c r="T5" s="493"/>
      <c r="U5" s="493"/>
      <c r="V5" s="493"/>
      <c r="W5" s="493"/>
      <c r="X5" s="493"/>
      <c r="Y5" s="599"/>
      <c r="Z5" s="496"/>
      <c r="AA5" s="499"/>
      <c r="AB5" s="496"/>
      <c r="AC5" s="496"/>
      <c r="AD5" s="496"/>
    </row>
    <row r="6" spans="1:34" ht="9" customHeight="1">
      <c r="A6" s="495"/>
      <c r="B6" s="495"/>
      <c r="C6" s="493"/>
      <c r="D6" s="493"/>
      <c r="E6" s="493"/>
      <c r="F6" s="493"/>
      <c r="G6" s="493"/>
      <c r="H6" s="493"/>
      <c r="I6" s="493"/>
      <c r="J6" s="493"/>
      <c r="K6" s="493"/>
      <c r="L6" s="493"/>
      <c r="M6" s="493"/>
      <c r="N6" s="493"/>
      <c r="O6" s="493"/>
      <c r="P6" s="493"/>
      <c r="Q6" s="493"/>
      <c r="R6" s="493"/>
      <c r="S6" s="493"/>
      <c r="T6" s="493"/>
      <c r="U6" s="493"/>
      <c r="V6" s="493"/>
      <c r="W6" s="493"/>
      <c r="X6" s="493"/>
      <c r="Y6" s="599"/>
      <c r="Z6" s="496"/>
      <c r="AA6" s="499"/>
      <c r="AB6" s="496"/>
      <c r="AC6" s="496"/>
      <c r="AD6" s="496"/>
    </row>
    <row r="7" spans="1:34" ht="9" customHeight="1">
      <c r="A7" s="495"/>
      <c r="B7" s="495"/>
      <c r="C7" s="493"/>
      <c r="D7" s="493"/>
      <c r="E7" s="493"/>
      <c r="F7" s="493"/>
      <c r="G7" s="493"/>
      <c r="H7" s="493"/>
      <c r="I7" s="493"/>
      <c r="J7" s="493"/>
      <c r="K7" s="493"/>
      <c r="L7" s="493"/>
      <c r="M7" s="493"/>
      <c r="N7" s="493"/>
      <c r="O7" s="493"/>
      <c r="P7" s="493"/>
      <c r="Q7" s="493"/>
      <c r="R7" s="493"/>
      <c r="S7" s="493"/>
      <c r="T7" s="493"/>
      <c r="U7" s="493"/>
      <c r="V7" s="493"/>
      <c r="W7" s="493"/>
      <c r="X7" s="493"/>
      <c r="Y7" s="599"/>
      <c r="Z7" s="496"/>
      <c r="AA7" s="499"/>
      <c r="AB7" s="496"/>
      <c r="AC7" s="496"/>
      <c r="AD7" s="496"/>
    </row>
    <row r="8" spans="1:34" ht="9" customHeight="1">
      <c r="A8" s="495"/>
      <c r="B8" s="495"/>
      <c r="C8" s="493"/>
      <c r="D8" s="493"/>
      <c r="E8" s="493"/>
      <c r="F8" s="493"/>
      <c r="G8" s="493"/>
      <c r="H8" s="493"/>
      <c r="I8" s="493"/>
      <c r="J8" s="493"/>
      <c r="K8" s="493"/>
      <c r="L8" s="493"/>
      <c r="M8" s="493"/>
      <c r="N8" s="493"/>
      <c r="O8" s="493"/>
      <c r="P8" s="493"/>
      <c r="Q8" s="493"/>
      <c r="R8" s="493"/>
      <c r="S8" s="493"/>
      <c r="T8" s="493"/>
      <c r="U8" s="493"/>
      <c r="V8" s="493"/>
      <c r="W8" s="493"/>
      <c r="X8" s="493"/>
      <c r="Y8" s="599"/>
      <c r="Z8" s="496"/>
      <c r="AA8" s="499"/>
      <c r="AB8" s="496"/>
      <c r="AC8" s="496"/>
      <c r="AD8" s="496"/>
    </row>
    <row r="9" spans="1:34" ht="9" customHeight="1">
      <c r="A9" s="495"/>
      <c r="B9" s="495"/>
      <c r="C9" s="493"/>
      <c r="D9" s="493"/>
      <c r="E9" s="493"/>
      <c r="F9" s="493"/>
      <c r="G9" s="493"/>
      <c r="H9" s="493"/>
      <c r="I9" s="493"/>
      <c r="J9" s="493"/>
      <c r="K9" s="493"/>
      <c r="L9" s="493"/>
      <c r="M9" s="493"/>
      <c r="N9" s="493"/>
      <c r="O9" s="493"/>
      <c r="P9" s="493"/>
      <c r="Q9" s="493"/>
      <c r="R9" s="493"/>
      <c r="S9" s="493"/>
      <c r="T9" s="493"/>
      <c r="U9" s="493"/>
      <c r="V9" s="493"/>
      <c r="W9" s="493"/>
      <c r="X9" s="493"/>
      <c r="Y9" s="599"/>
      <c r="Z9" s="496"/>
      <c r="AA9" s="499"/>
      <c r="AB9" s="496"/>
      <c r="AC9" s="496"/>
      <c r="AD9" s="496"/>
    </row>
    <row r="10" spans="1:34" ht="9" customHeight="1">
      <c r="A10" s="536"/>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row>
    <row r="11" spans="1:34" ht="45" customHeight="1">
      <c r="A11" s="1348" t="s">
        <v>29</v>
      </c>
      <c r="B11" s="536">
        <v>1</v>
      </c>
      <c r="C11" s="1354" t="s">
        <v>960</v>
      </c>
      <c r="D11" s="1354" t="s">
        <v>956</v>
      </c>
      <c r="E11" s="1354" t="s">
        <v>1063</v>
      </c>
      <c r="F11" s="1354" t="s">
        <v>1337</v>
      </c>
      <c r="G11" s="1354"/>
      <c r="H11" s="535" t="s">
        <v>1338</v>
      </c>
      <c r="I11" s="535"/>
      <c r="J11" s="535"/>
      <c r="K11" s="535"/>
      <c r="L11" s="535"/>
      <c r="M11" s="494" t="str">
        <f>IF(TEMPLATE_SPHERE="HEAT",T11,U11)</f>
        <v xml:space="preserve">Количество поданных заявлений </v>
      </c>
      <c r="N11" s="49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93"/>
      <c r="P11" s="493"/>
      <c r="Q11" s="493"/>
      <c r="R11" s="493"/>
      <c r="S11" s="493"/>
      <c r="T11" s="493" t="s">
        <v>1339</v>
      </c>
      <c r="U11" s="493" t="s">
        <v>1340</v>
      </c>
      <c r="V11" s="493"/>
      <c r="W11" s="493"/>
      <c r="X11" s="493"/>
      <c r="Y11" s="599"/>
      <c r="Z11" s="496" t="s">
        <v>1341</v>
      </c>
      <c r="AA11" s="49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96"/>
      <c r="AC11" s="496"/>
      <c r="AD11" s="496"/>
    </row>
    <row r="12" spans="1:34" ht="45" customHeight="1">
      <c r="A12" s="1348"/>
      <c r="B12" s="536">
        <v>2</v>
      </c>
      <c r="C12" s="1355"/>
      <c r="D12" s="1355"/>
      <c r="E12" s="1355"/>
      <c r="F12" s="1355"/>
      <c r="G12" s="1355"/>
      <c r="H12" s="535" t="s">
        <v>1342</v>
      </c>
      <c r="I12" s="535"/>
      <c r="J12" s="535"/>
      <c r="K12" s="535"/>
      <c r="L12" s="535"/>
      <c r="M12" s="494" t="str">
        <f>IF(TEMPLATE_SPHERE="HEAT",T12,U12)</f>
        <v xml:space="preserve">Количество исполненных заявлений </v>
      </c>
      <c r="N12" s="49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93"/>
      <c r="P12" s="493"/>
      <c r="Q12" s="493"/>
      <c r="R12" s="493"/>
      <c r="S12" s="493"/>
      <c r="T12" s="493" t="s">
        <v>1343</v>
      </c>
      <c r="U12" s="493" t="s">
        <v>1344</v>
      </c>
      <c r="V12" s="493"/>
      <c r="W12" s="493"/>
      <c r="X12" s="493"/>
      <c r="Y12" s="599"/>
      <c r="Z12" s="496" t="s">
        <v>1345</v>
      </c>
      <c r="AA12" s="49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96"/>
      <c r="AC12" s="496"/>
      <c r="AD12" s="496"/>
    </row>
    <row r="13" spans="1:34" ht="72" customHeight="1">
      <c r="A13" s="1348"/>
      <c r="B13" s="536">
        <v>3</v>
      </c>
      <c r="C13" s="1355"/>
      <c r="D13" s="1355"/>
      <c r="E13" s="1355"/>
      <c r="F13" s="1355"/>
      <c r="G13" s="1355"/>
      <c r="H13" s="1347" t="s">
        <v>1346</v>
      </c>
      <c r="I13" s="535"/>
      <c r="J13" s="535"/>
      <c r="K13" s="535"/>
      <c r="L13" s="535"/>
      <c r="M13" s="494" t="str">
        <f>IF(TEMPLATE_SPHERE="HEAT",T13,U13)</f>
        <v>Количество заявлений о заключении договоров о подключении (технологическом присоединении)</v>
      </c>
      <c r="N13" s="494"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93"/>
      <c r="P13" s="494"/>
      <c r="Q13" s="494"/>
      <c r="R13" s="494"/>
      <c r="S13" s="493"/>
      <c r="T13" s="493" t="s">
        <v>1347</v>
      </c>
      <c r="U13" s="494" t="s">
        <v>1348</v>
      </c>
      <c r="V13" s="494"/>
      <c r="W13" s="494"/>
      <c r="X13" s="493"/>
      <c r="Y13" s="599"/>
      <c r="Z13" s="496" t="s">
        <v>1349</v>
      </c>
      <c r="AA13" s="49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96"/>
      <c r="AC13" s="496"/>
      <c r="AD13" s="496"/>
    </row>
    <row r="14" spans="1:34" ht="45" customHeight="1">
      <c r="A14" s="1348"/>
      <c r="B14" s="536">
        <v>4</v>
      </c>
      <c r="C14" s="1355"/>
      <c r="D14" s="1355"/>
      <c r="E14" s="1355"/>
      <c r="F14" s="1355"/>
      <c r="G14" s="1355"/>
      <c r="H14" s="1347"/>
      <c r="I14" s="538"/>
      <c r="J14" s="538"/>
      <c r="K14" s="538"/>
      <c r="L14" s="538"/>
      <c r="M14" s="49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9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93"/>
      <c r="P14" s="494"/>
      <c r="Q14" s="494"/>
      <c r="R14" s="494"/>
      <c r="S14" s="493"/>
      <c r="T14" s="493" t="s">
        <v>1350</v>
      </c>
      <c r="U14" s="49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94"/>
      <c r="W14" s="494"/>
      <c r="X14" s="493"/>
      <c r="Y14" s="599"/>
      <c r="Z14" s="496" t="s">
        <v>1351</v>
      </c>
      <c r="AA14" s="499" t="s">
        <v>1351</v>
      </c>
      <c r="AB14" s="496"/>
      <c r="AC14" s="496"/>
      <c r="AD14" s="496"/>
    </row>
    <row r="15" spans="1:34" ht="108" customHeight="1">
      <c r="A15" s="1348"/>
      <c r="B15" s="536">
        <v>5</v>
      </c>
      <c r="C15" s="1355"/>
      <c r="D15" s="1355"/>
      <c r="E15" s="1355"/>
      <c r="F15" s="1355"/>
      <c r="G15" s="1355"/>
      <c r="H15" s="1349" t="s">
        <v>1352</v>
      </c>
      <c r="I15" s="537"/>
      <c r="J15" s="537"/>
      <c r="K15" s="537"/>
      <c r="L15" s="537"/>
      <c r="M15" s="49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98"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93"/>
      <c r="P15" s="494"/>
      <c r="Q15" s="494"/>
      <c r="R15" s="494"/>
      <c r="S15" s="493"/>
      <c r="T15" s="493" t="s">
        <v>1353</v>
      </c>
      <c r="U15" s="49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94"/>
      <c r="W15" s="494"/>
      <c r="X15" s="493"/>
      <c r="Y15" s="599"/>
      <c r="Z15" s="496" t="s">
        <v>1354</v>
      </c>
      <c r="AA15" s="49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96"/>
      <c r="AC15" s="496"/>
      <c r="AD15" s="496"/>
    </row>
    <row r="16" spans="1:34" ht="108" customHeight="1">
      <c r="A16" s="536"/>
      <c r="B16" s="536">
        <v>6</v>
      </c>
      <c r="C16" s="1356"/>
      <c r="D16" s="1356"/>
      <c r="E16" s="1356"/>
      <c r="F16" s="1356"/>
      <c r="G16" s="1356"/>
      <c r="H16" s="1350"/>
      <c r="I16" s="566"/>
      <c r="J16" s="566"/>
      <c r="K16" s="566"/>
      <c r="L16" s="566"/>
      <c r="M16" s="532"/>
      <c r="N16" s="498"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93"/>
      <c r="P16" s="494"/>
      <c r="Q16" s="494"/>
      <c r="R16" s="494"/>
      <c r="S16" s="493"/>
      <c r="T16" s="493"/>
      <c r="U16" s="494"/>
      <c r="V16" s="494"/>
      <c r="W16" s="494"/>
      <c r="X16" s="493"/>
      <c r="Y16" s="599"/>
      <c r="Z16" s="496" t="s">
        <v>1354</v>
      </c>
      <c r="AA16" s="49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96"/>
      <c r="AC16" s="496"/>
      <c r="AD16" s="496"/>
    </row>
    <row r="17" spans="1:30" ht="9" customHeight="1">
      <c r="A17" s="536"/>
      <c r="B17" s="536"/>
      <c r="C17" s="536">
        <v>22</v>
      </c>
      <c r="D17" s="536">
        <v>21</v>
      </c>
      <c r="E17" s="536">
        <v>42</v>
      </c>
      <c r="F17" s="536">
        <v>63</v>
      </c>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row>
    <row r="18" spans="1:30" ht="27" customHeight="1">
      <c r="A18" s="495" t="s">
        <v>1067</v>
      </c>
      <c r="B18" s="536">
        <v>1</v>
      </c>
      <c r="C18" s="493" t="s">
        <v>1338</v>
      </c>
      <c r="D18" s="571" t="s">
        <v>1338</v>
      </c>
      <c r="E18" s="493" t="s">
        <v>1338</v>
      </c>
      <c r="F18" s="493" t="s">
        <v>1338</v>
      </c>
      <c r="G18" s="493"/>
      <c r="H18" s="601"/>
      <c r="I18" s="602">
        <f t="shared" ref="I18:I49" si="1">INDEX(TEMPLATE_NUMBER_POINT_FHD,B18,MATCH(TEMPLATE_SPHERE,TEMPLATE_SPHERE_LIST_FOR_NOTE,0))</f>
        <v>1</v>
      </c>
      <c r="J18" s="602" t="str">
        <f t="shared" ref="J18:J49" si="2">INDEX(TEMPLATE_DATA_POINT_FHD,B18,MATCH(TEMPLATE_SPHERE,TEMPLATE_SPHERE_LIST_FOR_NOTE,0))</f>
        <v>Выручка от регулируемых видов деятельности в сфере холодного водоснабжения</v>
      </c>
      <c r="K18" s="602" t="str">
        <f t="shared" ref="K18:K49" si="3">INDEX(TEMPLATE_NOTE_POINT_FHD,B18,MATCH(TEMPLATE_SPHERE,TEMPLATE_SPHERE_LIST_FOR_NOTE,0))</f>
        <v>Указывается выручка с распределением по видам деятельности.</v>
      </c>
      <c r="L18" s="494">
        <f t="shared" ref="L18:L49" si="4">IF(I18=0,"",I18)</f>
        <v>1</v>
      </c>
      <c r="M18" s="494" t="str">
        <f t="shared" ref="M18:M49" si="5">IF(J18=0,"",J18)</f>
        <v>Выручка от регулируемых видов деятельности в сфере холодного водоснабжения</v>
      </c>
      <c r="N18" s="494" t="str">
        <f t="shared" ref="N18:N49" si="6">IF(K18=0,"",K18)</f>
        <v>Указывается выручка с распределением по видам деятельности.</v>
      </c>
      <c r="O18" s="561">
        <v>1</v>
      </c>
      <c r="P18" s="561">
        <v>1</v>
      </c>
      <c r="Q18" s="561">
        <v>1</v>
      </c>
      <c r="R18" s="561">
        <v>1</v>
      </c>
      <c r="S18" s="561"/>
      <c r="T18" s="568" t="s">
        <v>1355</v>
      </c>
      <c r="U18" s="496" t="s">
        <v>1356</v>
      </c>
      <c r="V18" s="496" t="s">
        <v>1357</v>
      </c>
      <c r="W18" s="496" t="s">
        <v>1358</v>
      </c>
      <c r="X18" s="493"/>
      <c r="Y18" s="599"/>
      <c r="Z18" s="496" t="s">
        <v>1359</v>
      </c>
      <c r="AA18" s="499" t="s">
        <v>1360</v>
      </c>
      <c r="AB18" s="499" t="s">
        <v>1360</v>
      </c>
      <c r="AC18" s="499" t="s">
        <v>1360</v>
      </c>
      <c r="AD18" s="496"/>
    </row>
    <row r="19" spans="1:30" ht="36" customHeight="1">
      <c r="A19" s="495"/>
      <c r="B19" s="536">
        <v>2</v>
      </c>
      <c r="C19" s="493" t="s">
        <v>1342</v>
      </c>
      <c r="D19" s="571" t="s">
        <v>1342</v>
      </c>
      <c r="E19" s="493" t="s">
        <v>1342</v>
      </c>
      <c r="F19" s="493" t="s">
        <v>1342</v>
      </c>
      <c r="G19" s="493"/>
      <c r="H19" s="601"/>
      <c r="I19" s="602">
        <f t="shared" si="1"/>
        <v>2</v>
      </c>
      <c r="J19" s="602" t="str">
        <f t="shared" si="2"/>
        <v>Себестоимость производимых товаров (оказываемых услуг) по регулируемым видам деятельности в сфере холодного водоснабжения, включая:</v>
      </c>
      <c r="K19" s="602" t="str">
        <f t="shared" si="3"/>
        <v>Указывается суммарная себестоимость производимых товаров.</v>
      </c>
      <c r="L19" s="494">
        <f t="shared" si="4"/>
        <v>2</v>
      </c>
      <c r="M19" s="494" t="str">
        <f t="shared" si="5"/>
        <v>Себестоимость производимых товаров (оказываемых услуг) по регулируемым видам деятельности в сфере холодного водоснабжения, включая:</v>
      </c>
      <c r="N19" s="494" t="str">
        <f t="shared" si="6"/>
        <v>Указывается суммарная себестоимость производимых товаров.</v>
      </c>
      <c r="O19" s="561">
        <v>2</v>
      </c>
      <c r="P19" s="561">
        <v>2</v>
      </c>
      <c r="Q19" s="561">
        <v>2</v>
      </c>
      <c r="R19" s="561">
        <v>2</v>
      </c>
      <c r="S19" s="561"/>
      <c r="T19" s="568" t="s">
        <v>1361</v>
      </c>
      <c r="U19" s="496" t="s">
        <v>1362</v>
      </c>
      <c r="V19" s="496" t="s">
        <v>1363</v>
      </c>
      <c r="W19" s="496" t="s">
        <v>1364</v>
      </c>
      <c r="X19" s="493"/>
      <c r="Y19" s="599"/>
      <c r="Z19" s="496" t="s">
        <v>1365</v>
      </c>
      <c r="AA19" s="499" t="s">
        <v>1365</v>
      </c>
      <c r="AB19" s="499" t="s">
        <v>1365</v>
      </c>
      <c r="AC19" s="499" t="s">
        <v>1365</v>
      </c>
      <c r="AD19" s="496"/>
    </row>
    <row r="20" spans="1:30" ht="27" customHeight="1">
      <c r="A20" s="495"/>
      <c r="B20" s="536">
        <v>3</v>
      </c>
      <c r="C20" s="493">
        <v>1</v>
      </c>
      <c r="D20" s="571"/>
      <c r="E20" s="493"/>
      <c r="F20" s="493"/>
      <c r="G20" s="493"/>
      <c r="H20" s="601"/>
      <c r="I20" s="602" t="str">
        <f t="shared" si="1"/>
        <v>2.1</v>
      </c>
      <c r="J20" s="602" t="str">
        <f t="shared" si="2"/>
        <v>Расходы на оплату холодной воды, приобретаемой у других организаций для последующей подачи потребителям</v>
      </c>
      <c r="K20" s="602">
        <f t="shared" si="3"/>
        <v>0</v>
      </c>
      <c r="L20" s="494" t="str">
        <f t="shared" si="4"/>
        <v>2.1</v>
      </c>
      <c r="M20" s="494" t="str">
        <f t="shared" si="5"/>
        <v>Расходы на оплату холодной воды, приобретаемой у других организаций для последующей подачи потребителям</v>
      </c>
      <c r="N20" s="494" t="str">
        <f t="shared" si="6"/>
        <v/>
      </c>
      <c r="O20" s="561" t="s">
        <v>465</v>
      </c>
      <c r="P20" s="561" t="s">
        <v>465</v>
      </c>
      <c r="Q20" s="561" t="s">
        <v>465</v>
      </c>
      <c r="R20" s="561" t="s">
        <v>465</v>
      </c>
      <c r="S20" s="561"/>
      <c r="T20" s="568" t="s">
        <v>1366</v>
      </c>
      <c r="U20" s="496" t="s">
        <v>1367</v>
      </c>
      <c r="V20" s="496" t="s">
        <v>1368</v>
      </c>
      <c r="W20" s="496" t="s">
        <v>1369</v>
      </c>
      <c r="X20" s="493"/>
      <c r="Y20" s="599"/>
      <c r="Z20" s="496"/>
      <c r="AA20" s="499"/>
      <c r="AB20" s="496"/>
      <c r="AC20" s="496"/>
      <c r="AD20" s="496"/>
    </row>
    <row r="21" spans="1:30" ht="36" customHeight="1">
      <c r="A21" s="495"/>
      <c r="B21" s="536">
        <v>4</v>
      </c>
      <c r="C21" s="493">
        <v>2</v>
      </c>
      <c r="D21" s="571"/>
      <c r="E21" s="493"/>
      <c r="F21" s="493"/>
      <c r="G21" s="493"/>
      <c r="H21" s="601"/>
      <c r="I21" s="602">
        <f t="shared" si="1"/>
        <v>0</v>
      </c>
      <c r="J21" s="602">
        <f t="shared" si="2"/>
        <v>0</v>
      </c>
      <c r="K21" s="602">
        <f t="shared" si="3"/>
        <v>0</v>
      </c>
      <c r="L21" s="494" t="str">
        <f t="shared" si="4"/>
        <v/>
      </c>
      <c r="M21" s="494" t="str">
        <f t="shared" si="5"/>
        <v/>
      </c>
      <c r="N21" s="494" t="str">
        <f t="shared" si="6"/>
        <v/>
      </c>
      <c r="O21" s="561" t="s">
        <v>309</v>
      </c>
      <c r="P21" s="561"/>
      <c r="Q21" s="561"/>
      <c r="R21" s="561"/>
      <c r="S21" s="561"/>
      <c r="T21" s="568" t="s">
        <v>1370</v>
      </c>
      <c r="U21" s="496"/>
      <c r="V21" s="496"/>
      <c r="W21" s="496"/>
      <c r="X21" s="493"/>
      <c r="Y21" s="599"/>
      <c r="Z21" s="496" t="s">
        <v>1371</v>
      </c>
      <c r="AA21" s="499"/>
      <c r="AB21" s="496"/>
      <c r="AC21" s="496"/>
      <c r="AD21" s="496"/>
    </row>
    <row r="22" spans="1:30" ht="36" customHeight="1">
      <c r="A22" s="495"/>
      <c r="B22" s="536">
        <v>5</v>
      </c>
      <c r="C22" s="493">
        <v>3</v>
      </c>
      <c r="D22" s="571"/>
      <c r="E22" s="493"/>
      <c r="F22" s="493"/>
      <c r="G22" s="531"/>
      <c r="H22" s="562"/>
      <c r="I22" s="602">
        <f t="shared" si="1"/>
        <v>0</v>
      </c>
      <c r="J22" s="602">
        <f t="shared" si="2"/>
        <v>0</v>
      </c>
      <c r="K22" s="602">
        <f t="shared" si="3"/>
        <v>0</v>
      </c>
      <c r="L22" s="494" t="str">
        <f t="shared" si="4"/>
        <v/>
      </c>
      <c r="M22" s="494" t="str">
        <f t="shared" si="5"/>
        <v/>
      </c>
      <c r="N22" s="494" t="str">
        <f t="shared" si="6"/>
        <v/>
      </c>
      <c r="O22" s="561"/>
      <c r="P22" s="561"/>
      <c r="Q22" s="561" t="s">
        <v>309</v>
      </c>
      <c r="R22" s="561"/>
      <c r="S22" s="561"/>
      <c r="T22" s="568"/>
      <c r="U22" s="496"/>
      <c r="V22" s="496" t="s">
        <v>1372</v>
      </c>
      <c r="W22" s="496"/>
      <c r="X22" s="493"/>
      <c r="Y22" s="599"/>
      <c r="Z22" s="496"/>
      <c r="AA22" s="499"/>
      <c r="AB22" s="496"/>
      <c r="AC22" s="496"/>
      <c r="AD22" s="496"/>
    </row>
    <row r="23" spans="1:30" ht="27" customHeight="1">
      <c r="A23" s="495"/>
      <c r="B23" s="536">
        <v>6</v>
      </c>
      <c r="C23" s="493">
        <v>4</v>
      </c>
      <c r="D23" s="571"/>
      <c r="E23" s="493"/>
      <c r="F23" s="493"/>
      <c r="G23" s="531"/>
      <c r="H23" s="562"/>
      <c r="I23" s="602">
        <f t="shared" si="1"/>
        <v>0</v>
      </c>
      <c r="J23" s="602">
        <f t="shared" si="2"/>
        <v>0</v>
      </c>
      <c r="K23" s="602">
        <f t="shared" si="3"/>
        <v>0</v>
      </c>
      <c r="L23" s="494" t="str">
        <f t="shared" si="4"/>
        <v/>
      </c>
      <c r="M23" s="494" t="str">
        <f t="shared" si="5"/>
        <v/>
      </c>
      <c r="N23" s="494" t="str">
        <f t="shared" si="6"/>
        <v/>
      </c>
      <c r="O23" s="561"/>
      <c r="P23" s="561"/>
      <c r="Q23" s="561" t="s">
        <v>312</v>
      </c>
      <c r="R23" s="561"/>
      <c r="S23" s="561"/>
      <c r="T23" s="568"/>
      <c r="U23" s="496"/>
      <c r="V23" s="496" t="s">
        <v>1373</v>
      </c>
      <c r="W23" s="496"/>
      <c r="X23" s="493"/>
      <c r="Y23" s="599"/>
      <c r="Z23" s="496"/>
      <c r="AA23" s="499"/>
      <c r="AB23" s="496"/>
      <c r="AC23" s="496"/>
      <c r="AD23" s="496"/>
    </row>
    <row r="24" spans="1:30" ht="36" customHeight="1">
      <c r="A24" s="495"/>
      <c r="B24" s="536">
        <v>7</v>
      </c>
      <c r="C24" s="493">
        <v>5</v>
      </c>
      <c r="D24" s="571"/>
      <c r="E24" s="493"/>
      <c r="F24" s="493"/>
      <c r="G24" s="531"/>
      <c r="H24" s="562"/>
      <c r="I24" s="602">
        <f t="shared" si="1"/>
        <v>0</v>
      </c>
      <c r="J24" s="602">
        <f t="shared" si="2"/>
        <v>0</v>
      </c>
      <c r="K24" s="602">
        <f t="shared" si="3"/>
        <v>0</v>
      </c>
      <c r="L24" s="494" t="str">
        <f t="shared" si="4"/>
        <v/>
      </c>
      <c r="M24" s="494" t="str">
        <f t="shared" si="5"/>
        <v/>
      </c>
      <c r="N24" s="494" t="str">
        <f t="shared" si="6"/>
        <v/>
      </c>
      <c r="O24" s="561"/>
      <c r="P24" s="561"/>
      <c r="Q24" s="561" t="s">
        <v>1374</v>
      </c>
      <c r="R24" s="561"/>
      <c r="S24" s="561"/>
      <c r="T24" s="568"/>
      <c r="U24" s="496"/>
      <c r="V24" s="496" t="s">
        <v>1375</v>
      </c>
      <c r="W24" s="496"/>
      <c r="X24" s="493"/>
      <c r="Y24" s="599"/>
      <c r="Z24" s="496"/>
      <c r="AA24" s="499"/>
      <c r="AB24" s="496"/>
      <c r="AC24" s="496"/>
      <c r="AD24" s="496"/>
    </row>
    <row r="25" spans="1:30" ht="36" customHeight="1">
      <c r="A25" s="495"/>
      <c r="B25" s="536">
        <v>8</v>
      </c>
      <c r="C25" s="493">
        <v>6</v>
      </c>
      <c r="D25" s="571"/>
      <c r="E25" s="493"/>
      <c r="F25" s="493"/>
      <c r="G25" s="531"/>
      <c r="H25" s="562"/>
      <c r="I25" s="602" t="str">
        <f t="shared" si="1"/>
        <v>2.2</v>
      </c>
      <c r="J25" s="602" t="str">
        <f t="shared" si="2"/>
        <v>Расходы на приобретаемую электрическую энергию (мощность), используемую в технологическом процессе</v>
      </c>
      <c r="K25" s="602">
        <f t="shared" si="3"/>
        <v>0</v>
      </c>
      <c r="L25" s="494" t="str">
        <f t="shared" si="4"/>
        <v>2.2</v>
      </c>
      <c r="M25" s="494" t="str">
        <f t="shared" si="5"/>
        <v>Расходы на приобретаемую электрическую энергию (мощность), используемую в технологическом процессе</v>
      </c>
      <c r="N25" s="494" t="str">
        <f t="shared" si="6"/>
        <v/>
      </c>
      <c r="O25" s="561" t="s">
        <v>312</v>
      </c>
      <c r="P25" s="561" t="s">
        <v>309</v>
      </c>
      <c r="Q25" s="561" t="s">
        <v>1376</v>
      </c>
      <c r="R25" s="561" t="s">
        <v>309</v>
      </c>
      <c r="S25" s="561"/>
      <c r="T25" s="568" t="s">
        <v>1377</v>
      </c>
      <c r="U25" s="496" t="s">
        <v>1377</v>
      </c>
      <c r="V25" s="496" t="s">
        <v>1377</v>
      </c>
      <c r="W25" s="496" t="s">
        <v>1377</v>
      </c>
      <c r="X25" s="493"/>
      <c r="Y25" s="599"/>
      <c r="Z25" s="496"/>
      <c r="AA25" s="499"/>
      <c r="AB25" s="496"/>
      <c r="AC25" s="496"/>
      <c r="AD25" s="496"/>
    </row>
    <row r="26" spans="1:30" ht="18" customHeight="1">
      <c r="A26" s="495"/>
      <c r="B26" s="536">
        <v>9</v>
      </c>
      <c r="C26" s="493" t="s">
        <v>1378</v>
      </c>
      <c r="D26" s="571"/>
      <c r="E26" s="493"/>
      <c r="F26" s="493"/>
      <c r="G26" s="531"/>
      <c r="H26" s="562"/>
      <c r="I26" s="602" t="str">
        <f t="shared" si="1"/>
        <v>2.2.1</v>
      </c>
      <c r="J26" s="602" t="str">
        <f t="shared" si="2"/>
        <v>Средневзвешенная стоимость 1 кВт.ч (с учетом мощности)</v>
      </c>
      <c r="K26" s="602">
        <f t="shared" si="3"/>
        <v>0</v>
      </c>
      <c r="L26" s="494" t="str">
        <f t="shared" si="4"/>
        <v>2.2.1</v>
      </c>
      <c r="M26" s="494" t="str">
        <f t="shared" si="5"/>
        <v>Средневзвешенная стоимость 1 кВт.ч (с учетом мощности)</v>
      </c>
      <c r="N26" s="494" t="str">
        <f t="shared" si="6"/>
        <v/>
      </c>
      <c r="O26" s="561" t="s">
        <v>1379</v>
      </c>
      <c r="P26" s="561" t="s">
        <v>1380</v>
      </c>
      <c r="Q26" s="561" t="s">
        <v>1381</v>
      </c>
      <c r="R26" s="561" t="s">
        <v>1380</v>
      </c>
      <c r="S26" s="561"/>
      <c r="T26" s="568" t="s">
        <v>1382</v>
      </c>
      <c r="U26" s="568" t="s">
        <v>1382</v>
      </c>
      <c r="V26" s="568" t="s">
        <v>1382</v>
      </c>
      <c r="W26" s="568" t="s">
        <v>1382</v>
      </c>
      <c r="X26" s="493"/>
      <c r="Y26" s="599"/>
      <c r="Z26" s="496"/>
      <c r="AA26" s="499"/>
      <c r="AB26" s="496"/>
      <c r="AC26" s="496"/>
      <c r="AD26" s="496"/>
    </row>
    <row r="27" spans="1:30" ht="18" customHeight="1">
      <c r="A27" s="495"/>
      <c r="B27" s="536">
        <v>10</v>
      </c>
      <c r="C27" s="493" t="s">
        <v>1383</v>
      </c>
      <c r="D27" s="571"/>
      <c r="E27" s="493"/>
      <c r="F27" s="493"/>
      <c r="G27" s="531"/>
      <c r="H27" s="562"/>
      <c r="I27" s="602" t="str">
        <f t="shared" si="1"/>
        <v>2.2.2</v>
      </c>
      <c r="J27" s="602" t="str">
        <f t="shared" si="2"/>
        <v>Объём приобретения электрической энергии</v>
      </c>
      <c r="K27" s="602">
        <f t="shared" si="3"/>
        <v>0</v>
      </c>
      <c r="L27" s="494" t="str">
        <f t="shared" si="4"/>
        <v>2.2.2</v>
      </c>
      <c r="M27" s="494" t="str">
        <f t="shared" si="5"/>
        <v>Объём приобретения электрической энергии</v>
      </c>
      <c r="N27" s="494" t="str">
        <f t="shared" si="6"/>
        <v/>
      </c>
      <c r="O27" s="561" t="s">
        <v>1384</v>
      </c>
      <c r="P27" s="561" t="s">
        <v>1385</v>
      </c>
      <c r="Q27" s="561" t="s">
        <v>1386</v>
      </c>
      <c r="R27" s="561" t="s">
        <v>1385</v>
      </c>
      <c r="S27" s="561"/>
      <c r="T27" s="568" t="s">
        <v>1387</v>
      </c>
      <c r="U27" s="568" t="s">
        <v>1387</v>
      </c>
      <c r="V27" s="568" t="s">
        <v>1387</v>
      </c>
      <c r="W27" s="568" t="s">
        <v>1387</v>
      </c>
      <c r="X27" s="493"/>
      <c r="Y27" s="599"/>
      <c r="Z27" s="496"/>
      <c r="AA27" s="499"/>
      <c r="AB27" s="496"/>
      <c r="AC27" s="496"/>
      <c r="AD27" s="496"/>
    </row>
    <row r="28" spans="1:30" ht="27" customHeight="1">
      <c r="A28" s="495"/>
      <c r="B28" s="536">
        <v>11</v>
      </c>
      <c r="C28" s="493">
        <v>7</v>
      </c>
      <c r="D28" s="571"/>
      <c r="E28" s="493"/>
      <c r="F28" s="493"/>
      <c r="G28" s="531"/>
      <c r="H28" s="562"/>
      <c r="I28" s="602">
        <f t="shared" si="1"/>
        <v>0</v>
      </c>
      <c r="J28" s="602">
        <f t="shared" si="2"/>
        <v>0</v>
      </c>
      <c r="K28" s="602">
        <f t="shared" si="3"/>
        <v>0</v>
      </c>
      <c r="L28" s="494" t="str">
        <f t="shared" si="4"/>
        <v/>
      </c>
      <c r="M28" s="494" t="str">
        <f t="shared" si="5"/>
        <v/>
      </c>
      <c r="N28" s="494" t="str">
        <f t="shared" si="6"/>
        <v/>
      </c>
      <c r="O28" s="561" t="s">
        <v>1374</v>
      </c>
      <c r="P28" s="561"/>
      <c r="Q28" s="561"/>
      <c r="R28" s="561"/>
      <c r="S28" s="561"/>
      <c r="T28" s="568" t="s">
        <v>1388</v>
      </c>
      <c r="U28" s="496"/>
      <c r="V28" s="496"/>
      <c r="W28" s="496"/>
      <c r="X28" s="493"/>
      <c r="Y28" s="599"/>
      <c r="Z28" s="496"/>
      <c r="AA28" s="499"/>
      <c r="AB28" s="496"/>
      <c r="AC28" s="496"/>
      <c r="AD28" s="496"/>
    </row>
    <row r="29" spans="1:30" ht="27" customHeight="1">
      <c r="A29" s="495"/>
      <c r="B29" s="536">
        <v>12</v>
      </c>
      <c r="C29" s="493">
        <v>8</v>
      </c>
      <c r="D29" s="571"/>
      <c r="E29" s="493"/>
      <c r="F29" s="493"/>
      <c r="G29" s="531"/>
      <c r="H29" s="562"/>
      <c r="I29" s="602" t="str">
        <f t="shared" si="1"/>
        <v>2.3</v>
      </c>
      <c r="J29" s="602" t="str">
        <f t="shared" si="2"/>
        <v>Расходы на химические реагенты, используемые в технологическом процессе</v>
      </c>
      <c r="K29" s="602">
        <f t="shared" si="3"/>
        <v>0</v>
      </c>
      <c r="L29" s="494" t="str">
        <f t="shared" si="4"/>
        <v>2.3</v>
      </c>
      <c r="M29" s="494" t="str">
        <f t="shared" si="5"/>
        <v>Расходы на химические реагенты, используемые в технологическом процессе</v>
      </c>
      <c r="N29" s="494" t="str">
        <f t="shared" si="6"/>
        <v/>
      </c>
      <c r="O29" s="561" t="s">
        <v>1376</v>
      </c>
      <c r="P29" s="561" t="s">
        <v>312</v>
      </c>
      <c r="Q29" s="561"/>
      <c r="R29" s="561" t="s">
        <v>312</v>
      </c>
      <c r="S29" s="561"/>
      <c r="T29" s="568" t="s">
        <v>1389</v>
      </c>
      <c r="U29" s="496" t="s">
        <v>1389</v>
      </c>
      <c r="V29" s="496"/>
      <c r="W29" s="496" t="s">
        <v>1389</v>
      </c>
      <c r="X29" s="493"/>
      <c r="Y29" s="599"/>
      <c r="Z29" s="496"/>
      <c r="AA29" s="499"/>
      <c r="AB29" s="496"/>
      <c r="AC29" s="496"/>
      <c r="AD29" s="496"/>
    </row>
    <row r="30" spans="1:30" ht="54" customHeight="1">
      <c r="A30" s="495"/>
      <c r="B30" s="536">
        <v>13</v>
      </c>
      <c r="C30" s="493">
        <v>9</v>
      </c>
      <c r="D30" s="571"/>
      <c r="E30" s="493"/>
      <c r="F30" s="493"/>
      <c r="G30" s="531"/>
      <c r="H30" s="562"/>
      <c r="I30" s="602" t="str">
        <f t="shared" si="1"/>
        <v>2.4</v>
      </c>
      <c r="J30" s="60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602" t="str">
        <f t="shared" si="3"/>
        <v>Указывается общая сумма расходов на оплату труда и отчислений на социальные нужды основного производственного персонала.</v>
      </c>
      <c r="L30" s="494" t="str">
        <f t="shared" si="4"/>
        <v>2.4</v>
      </c>
      <c r="M30" s="49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94" t="str">
        <f t="shared" si="6"/>
        <v>Указывается общая сумма расходов на оплату труда и отчислений на социальные нужды основного производственного персонала.</v>
      </c>
      <c r="O30" s="561" t="s">
        <v>1390</v>
      </c>
      <c r="P30" s="561" t="s">
        <v>1374</v>
      </c>
      <c r="Q30" s="561" t="s">
        <v>1390</v>
      </c>
      <c r="R30" s="561" t="s">
        <v>1374</v>
      </c>
      <c r="S30" s="561"/>
      <c r="T30" s="568" t="s">
        <v>1391</v>
      </c>
      <c r="U30" s="496" t="s">
        <v>1391</v>
      </c>
      <c r="V30" s="496" t="s">
        <v>1391</v>
      </c>
      <c r="W30" s="496" t="s">
        <v>1391</v>
      </c>
      <c r="X30" s="493"/>
      <c r="Y30" s="599"/>
      <c r="Z30" s="496"/>
      <c r="AA30" s="499" t="s">
        <v>1392</v>
      </c>
      <c r="AB30" s="499" t="s">
        <v>1392</v>
      </c>
      <c r="AC30" s="499" t="s">
        <v>1392</v>
      </c>
      <c r="AD30" s="496"/>
    </row>
    <row r="31" spans="1:30" ht="18" customHeight="1">
      <c r="A31" s="495"/>
      <c r="B31" s="536">
        <v>14</v>
      </c>
      <c r="C31" s="493" t="s">
        <v>1393</v>
      </c>
      <c r="D31" s="571"/>
      <c r="E31" s="493"/>
      <c r="F31" s="493"/>
      <c r="G31" s="531"/>
      <c r="H31" s="562"/>
      <c r="I31" s="602" t="str">
        <f t="shared" si="1"/>
        <v>2.4.1</v>
      </c>
      <c r="J31" s="602" t="str">
        <f t="shared" si="2"/>
        <v>Расходы на оплату труда основного производственного персонала</v>
      </c>
      <c r="K31" s="602">
        <f t="shared" si="3"/>
        <v>0</v>
      </c>
      <c r="L31" s="494" t="str">
        <f t="shared" si="4"/>
        <v>2.4.1</v>
      </c>
      <c r="M31" s="494" t="str">
        <f t="shared" si="5"/>
        <v>Расходы на оплату труда основного производственного персонала</v>
      </c>
      <c r="N31" s="494" t="str">
        <f t="shared" si="6"/>
        <v/>
      </c>
      <c r="O31" s="561" t="s">
        <v>1394</v>
      </c>
      <c r="P31" s="561" t="s">
        <v>1395</v>
      </c>
      <c r="Q31" s="561" t="s">
        <v>1394</v>
      </c>
      <c r="R31" s="561" t="s">
        <v>1395</v>
      </c>
      <c r="S31" s="561"/>
      <c r="T31" s="569" t="s">
        <v>1396</v>
      </c>
      <c r="U31" s="496" t="s">
        <v>1396</v>
      </c>
      <c r="V31" s="496" t="s">
        <v>1396</v>
      </c>
      <c r="W31" s="496" t="s">
        <v>1396</v>
      </c>
      <c r="X31" s="493"/>
      <c r="Y31" s="599"/>
      <c r="Z31" s="496"/>
      <c r="AA31" s="499"/>
      <c r="AB31" s="499"/>
      <c r="AC31" s="499"/>
      <c r="AD31" s="496"/>
    </row>
    <row r="32" spans="1:30" ht="36" customHeight="1">
      <c r="A32" s="495"/>
      <c r="B32" s="536">
        <v>15</v>
      </c>
      <c r="C32" s="493" t="s">
        <v>1397</v>
      </c>
      <c r="D32" s="571"/>
      <c r="E32" s="493"/>
      <c r="F32" s="493"/>
      <c r="G32" s="531"/>
      <c r="H32" s="562"/>
      <c r="I32" s="602" t="str">
        <f t="shared" si="1"/>
        <v>2.4.2</v>
      </c>
      <c r="J32" s="602" t="str">
        <f t="shared" si="2"/>
        <v>Страховые взносы на обязательное социальное страхование, выплачиваемые из фонда оплаты труда основного производственного персонала</v>
      </c>
      <c r="K32" s="602">
        <f t="shared" si="3"/>
        <v>0</v>
      </c>
      <c r="L32" s="494" t="str">
        <f t="shared" si="4"/>
        <v>2.4.2</v>
      </c>
      <c r="M32" s="494" t="str">
        <f t="shared" si="5"/>
        <v>Страховые взносы на обязательное социальное страхование, выплачиваемые из фонда оплаты труда основного производственного персонала</v>
      </c>
      <c r="N32" s="494" t="str">
        <f t="shared" si="6"/>
        <v/>
      </c>
      <c r="O32" s="561" t="s">
        <v>1398</v>
      </c>
      <c r="P32" s="561" t="s">
        <v>1399</v>
      </c>
      <c r="Q32" s="561" t="s">
        <v>1398</v>
      </c>
      <c r="R32" s="561" t="s">
        <v>1399</v>
      </c>
      <c r="S32" s="561"/>
      <c r="T32" s="570" t="s">
        <v>1400</v>
      </c>
      <c r="U32" s="496" t="s">
        <v>1400</v>
      </c>
      <c r="V32" s="496" t="s">
        <v>1400</v>
      </c>
      <c r="W32" s="496" t="s">
        <v>1400</v>
      </c>
      <c r="X32" s="493"/>
      <c r="Y32" s="599"/>
      <c r="Z32" s="496"/>
      <c r="AA32" s="499"/>
      <c r="AB32" s="499"/>
      <c r="AC32" s="499"/>
      <c r="AD32" s="496"/>
    </row>
    <row r="33" spans="1:30" ht="45" customHeight="1">
      <c r="A33" s="495"/>
      <c r="B33" s="536">
        <v>16</v>
      </c>
      <c r="C33" s="493">
        <v>10</v>
      </c>
      <c r="D33" s="571"/>
      <c r="E33" s="493"/>
      <c r="F33" s="493"/>
      <c r="G33" s="531"/>
      <c r="H33" s="562"/>
      <c r="I33" s="602" t="str">
        <f t="shared" si="1"/>
        <v>2.5</v>
      </c>
      <c r="J33" s="60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602" t="str">
        <f t="shared" si="3"/>
        <v>Указывается общая сумма расходов на оплату труда и отчислений на социальные нужды административно-управленческого персонала.</v>
      </c>
      <c r="L33" s="494" t="str">
        <f t="shared" si="4"/>
        <v>2.5</v>
      </c>
      <c r="M33" s="49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94" t="str">
        <f t="shared" si="6"/>
        <v>Указывается общая сумма расходов на оплату труда и отчислений на социальные нужды административно-управленческого персонала.</v>
      </c>
      <c r="O33" s="561" t="s">
        <v>1401</v>
      </c>
      <c r="P33" s="561" t="s">
        <v>1376</v>
      </c>
      <c r="Q33" s="561" t="s">
        <v>1401</v>
      </c>
      <c r="R33" s="561" t="s">
        <v>1376</v>
      </c>
      <c r="S33" s="561"/>
      <c r="T33" s="569" t="s">
        <v>1402</v>
      </c>
      <c r="U33" s="496" t="s">
        <v>1402</v>
      </c>
      <c r="V33" s="496" t="s">
        <v>1402</v>
      </c>
      <c r="W33" s="496" t="s">
        <v>1403</v>
      </c>
      <c r="X33" s="493"/>
      <c r="Y33" s="599"/>
      <c r="Z33" s="496"/>
      <c r="AA33" s="499" t="s">
        <v>1404</v>
      </c>
      <c r="AB33" s="499" t="s">
        <v>1404</v>
      </c>
      <c r="AC33" s="499" t="s">
        <v>1404</v>
      </c>
      <c r="AD33" s="496"/>
    </row>
    <row r="34" spans="1:30" ht="27" customHeight="1">
      <c r="A34" s="495"/>
      <c r="B34" s="536">
        <v>17</v>
      </c>
      <c r="C34" s="493" t="s">
        <v>1405</v>
      </c>
      <c r="D34" s="571"/>
      <c r="E34" s="493"/>
      <c r="F34" s="493"/>
      <c r="G34" s="531"/>
      <c r="H34" s="562"/>
      <c r="I34" s="602" t="str">
        <f t="shared" si="1"/>
        <v>2.5.1</v>
      </c>
      <c r="J34" s="602" t="str">
        <f t="shared" si="2"/>
        <v>Расходы на оплату труда административно-управленческого персонала</v>
      </c>
      <c r="K34" s="602">
        <f t="shared" si="3"/>
        <v>0</v>
      </c>
      <c r="L34" s="494" t="str">
        <f t="shared" si="4"/>
        <v>2.5.1</v>
      </c>
      <c r="M34" s="494" t="str">
        <f t="shared" si="5"/>
        <v>Расходы на оплату труда административно-управленческого персонала</v>
      </c>
      <c r="N34" s="494" t="str">
        <f t="shared" si="6"/>
        <v/>
      </c>
      <c r="O34" s="561" t="s">
        <v>1406</v>
      </c>
      <c r="P34" s="561" t="s">
        <v>1381</v>
      </c>
      <c r="Q34" s="561" t="s">
        <v>1406</v>
      </c>
      <c r="R34" s="561" t="s">
        <v>1381</v>
      </c>
      <c r="S34" s="561"/>
      <c r="T34" s="570" t="s">
        <v>1407</v>
      </c>
      <c r="U34" s="496" t="s">
        <v>1407</v>
      </c>
      <c r="V34" s="496" t="s">
        <v>1407</v>
      </c>
      <c r="W34" s="496" t="s">
        <v>1408</v>
      </c>
      <c r="X34" s="493"/>
      <c r="Y34" s="599"/>
      <c r="Z34" s="496"/>
      <c r="AA34" s="499"/>
      <c r="AB34" s="496"/>
      <c r="AC34" s="496"/>
      <c r="AD34" s="496"/>
    </row>
    <row r="35" spans="1:30" ht="45" customHeight="1">
      <c r="A35" s="495"/>
      <c r="B35" s="536">
        <v>18</v>
      </c>
      <c r="C35" s="493" t="s">
        <v>1409</v>
      </c>
      <c r="D35" s="571"/>
      <c r="E35" s="493"/>
      <c r="F35" s="493"/>
      <c r="G35" s="531"/>
      <c r="H35" s="562"/>
      <c r="I35" s="602" t="str">
        <f t="shared" si="1"/>
        <v>2.5.2</v>
      </c>
      <c r="J35" s="60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602">
        <f t="shared" si="3"/>
        <v>0</v>
      </c>
      <c r="L35" s="494" t="str">
        <f t="shared" si="4"/>
        <v>2.5.2</v>
      </c>
      <c r="M35" s="49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94" t="str">
        <f t="shared" si="6"/>
        <v/>
      </c>
      <c r="O35" s="561" t="s">
        <v>1410</v>
      </c>
      <c r="P35" s="561" t="s">
        <v>1386</v>
      </c>
      <c r="Q35" s="561" t="s">
        <v>1410</v>
      </c>
      <c r="R35" s="561" t="s">
        <v>1386</v>
      </c>
      <c r="S35" s="561"/>
      <c r="T35" s="568" t="s">
        <v>1411</v>
      </c>
      <c r="U35" s="496" t="s">
        <v>1411</v>
      </c>
      <c r="V35" s="496" t="s">
        <v>1411</v>
      </c>
      <c r="W35" s="496" t="s">
        <v>1411</v>
      </c>
      <c r="X35" s="493"/>
      <c r="Y35" s="599"/>
      <c r="Z35" s="496"/>
      <c r="AA35" s="499"/>
      <c r="AB35" s="496"/>
      <c r="AC35" s="496"/>
      <c r="AD35" s="496"/>
    </row>
    <row r="36" spans="1:30" ht="18" customHeight="1">
      <c r="A36" s="495"/>
      <c r="B36" s="536">
        <v>19</v>
      </c>
      <c r="C36" s="493">
        <v>11</v>
      </c>
      <c r="D36" s="571"/>
      <c r="E36" s="493"/>
      <c r="F36" s="493"/>
      <c r="G36" s="531"/>
      <c r="H36" s="562"/>
      <c r="I36" s="602" t="str">
        <f t="shared" si="1"/>
        <v>2.6</v>
      </c>
      <c r="J36" s="602" t="str">
        <f t="shared" si="2"/>
        <v>Расходы на амортизацию основных средств и нематериальных активов</v>
      </c>
      <c r="K36" s="602">
        <f t="shared" si="3"/>
        <v>0</v>
      </c>
      <c r="L36" s="494" t="str">
        <f t="shared" si="4"/>
        <v>2.6</v>
      </c>
      <c r="M36" s="494" t="str">
        <f t="shared" si="5"/>
        <v>Расходы на амортизацию основных средств и нематериальных активов</v>
      </c>
      <c r="N36" s="494" t="str">
        <f t="shared" si="6"/>
        <v/>
      </c>
      <c r="O36" s="561" t="s">
        <v>1412</v>
      </c>
      <c r="P36" s="561" t="s">
        <v>1390</v>
      </c>
      <c r="Q36" s="561" t="s">
        <v>1412</v>
      </c>
      <c r="R36" s="561" t="s">
        <v>1390</v>
      </c>
      <c r="S36" s="561"/>
      <c r="T36" s="568" t="s">
        <v>1413</v>
      </c>
      <c r="U36" s="496" t="s">
        <v>1413</v>
      </c>
      <c r="V36" s="496" t="s">
        <v>1413</v>
      </c>
      <c r="W36" s="496" t="s">
        <v>1413</v>
      </c>
      <c r="X36" s="493"/>
      <c r="Y36" s="599"/>
      <c r="Z36" s="496"/>
      <c r="AA36" s="499"/>
      <c r="AB36" s="496"/>
      <c r="AC36" s="496"/>
      <c r="AD36" s="496"/>
    </row>
    <row r="37" spans="1:30" ht="18" customHeight="1">
      <c r="A37" s="495"/>
      <c r="B37" s="536">
        <v>20</v>
      </c>
      <c r="C37" s="493" t="s">
        <v>1414</v>
      </c>
      <c r="D37" s="571"/>
      <c r="E37" s="493"/>
      <c r="F37" s="493"/>
      <c r="G37" s="531"/>
      <c r="H37" s="562"/>
      <c r="I37" s="602" t="str">
        <f t="shared" si="1"/>
        <v>2.6.1</v>
      </c>
      <c r="J37" s="602" t="str">
        <f t="shared" si="2"/>
        <v>Расходы на амортизацию основных средств</v>
      </c>
      <c r="K37" s="602">
        <f t="shared" si="3"/>
        <v>0</v>
      </c>
      <c r="L37" s="494" t="str">
        <f t="shared" si="4"/>
        <v>2.6.1</v>
      </c>
      <c r="M37" s="494" t="str">
        <f t="shared" si="5"/>
        <v>Расходы на амортизацию основных средств</v>
      </c>
      <c r="N37" s="494" t="str">
        <f t="shared" si="6"/>
        <v/>
      </c>
      <c r="O37" s="561" t="s">
        <v>1415</v>
      </c>
      <c r="P37" s="561" t="s">
        <v>1394</v>
      </c>
      <c r="Q37" s="561" t="s">
        <v>1415</v>
      </c>
      <c r="R37" s="561" t="s">
        <v>1394</v>
      </c>
      <c r="S37" s="561"/>
      <c r="T37" s="568" t="s">
        <v>1416</v>
      </c>
      <c r="U37" s="496" t="s">
        <v>1416</v>
      </c>
      <c r="V37" s="496" t="s">
        <v>1416</v>
      </c>
      <c r="W37" s="496" t="s">
        <v>1416</v>
      </c>
      <c r="X37" s="493"/>
      <c r="Y37" s="599"/>
      <c r="Z37" s="496"/>
      <c r="AA37" s="499"/>
      <c r="AB37" s="496"/>
      <c r="AC37" s="496"/>
      <c r="AD37" s="496"/>
    </row>
    <row r="38" spans="1:30" ht="18" customHeight="1">
      <c r="A38" s="495"/>
      <c r="B38" s="536">
        <v>21</v>
      </c>
      <c r="C38" s="493" t="s">
        <v>1417</v>
      </c>
      <c r="D38" s="571"/>
      <c r="E38" s="493"/>
      <c r="F38" s="493"/>
      <c r="G38" s="531"/>
      <c r="H38" s="562"/>
      <c r="I38" s="602" t="str">
        <f t="shared" si="1"/>
        <v>2.6.2</v>
      </c>
      <c r="J38" s="602" t="str">
        <f t="shared" si="2"/>
        <v>Расходы на амортизацию нематериальных активов</v>
      </c>
      <c r="K38" s="602">
        <f t="shared" si="3"/>
        <v>0</v>
      </c>
      <c r="L38" s="494" t="str">
        <f t="shared" si="4"/>
        <v>2.6.2</v>
      </c>
      <c r="M38" s="494" t="str">
        <f t="shared" si="5"/>
        <v>Расходы на амортизацию нематериальных активов</v>
      </c>
      <c r="N38" s="494" t="str">
        <f t="shared" si="6"/>
        <v/>
      </c>
      <c r="O38" s="561" t="s">
        <v>1418</v>
      </c>
      <c r="P38" s="561" t="s">
        <v>1398</v>
      </c>
      <c r="Q38" s="561" t="s">
        <v>1418</v>
      </c>
      <c r="R38" s="561" t="s">
        <v>1398</v>
      </c>
      <c r="S38" s="561"/>
      <c r="T38" s="568" t="s">
        <v>1419</v>
      </c>
      <c r="U38" s="496" t="s">
        <v>1419</v>
      </c>
      <c r="V38" s="496" t="s">
        <v>1419</v>
      </c>
      <c r="W38" s="496" t="s">
        <v>1419</v>
      </c>
      <c r="X38" s="493"/>
      <c r="Y38" s="599"/>
      <c r="Z38" s="496"/>
      <c r="AA38" s="499"/>
      <c r="AB38" s="496"/>
      <c r="AC38" s="496"/>
      <c r="AD38" s="496"/>
    </row>
    <row r="39" spans="1:30" ht="36" customHeight="1">
      <c r="A39" s="495"/>
      <c r="B39" s="536">
        <v>22</v>
      </c>
      <c r="C39" s="493">
        <v>12</v>
      </c>
      <c r="D39" s="571"/>
      <c r="E39" s="493"/>
      <c r="F39" s="493"/>
      <c r="G39" s="531"/>
      <c r="H39" s="562"/>
      <c r="I39" s="602" t="str">
        <f t="shared" si="1"/>
        <v>2.7</v>
      </c>
      <c r="J39" s="602" t="str">
        <f t="shared" si="2"/>
        <v>Расходы на аренду имущества, используемого для осуществления регулируемых видов деятельности в сфере холодного водоснабжения</v>
      </c>
      <c r="K39" s="602">
        <f t="shared" si="3"/>
        <v>0</v>
      </c>
      <c r="L39" s="494" t="str">
        <f t="shared" si="4"/>
        <v>2.7</v>
      </c>
      <c r="M39" s="494" t="str">
        <f t="shared" si="5"/>
        <v>Расходы на аренду имущества, используемого для осуществления регулируемых видов деятельности в сфере холодного водоснабжения</v>
      </c>
      <c r="N39" s="494" t="str">
        <f t="shared" si="6"/>
        <v/>
      </c>
      <c r="O39" s="561" t="s">
        <v>1420</v>
      </c>
      <c r="P39" s="561" t="s">
        <v>1401</v>
      </c>
      <c r="Q39" s="561" t="s">
        <v>1420</v>
      </c>
      <c r="R39" s="561" t="s">
        <v>1401</v>
      </c>
      <c r="S39" s="561"/>
      <c r="T39" s="568" t="s">
        <v>1421</v>
      </c>
      <c r="U39" s="496" t="s">
        <v>1422</v>
      </c>
      <c r="V39" s="496" t="s">
        <v>1423</v>
      </c>
      <c r="W39" s="496" t="s">
        <v>1424</v>
      </c>
      <c r="X39" s="493"/>
      <c r="Y39" s="599"/>
      <c r="Z39" s="496"/>
      <c r="AA39" s="499"/>
      <c r="AB39" s="496"/>
      <c r="AC39" s="496"/>
      <c r="AD39" s="496"/>
    </row>
    <row r="40" spans="1:30" ht="18" customHeight="1">
      <c r="A40" s="495"/>
      <c r="B40" s="536">
        <v>23</v>
      </c>
      <c r="C40" s="493">
        <v>13</v>
      </c>
      <c r="D40" s="571"/>
      <c r="E40" s="493"/>
      <c r="F40" s="493"/>
      <c r="G40" s="493"/>
      <c r="H40" s="534"/>
      <c r="I40" s="602" t="str">
        <f t="shared" si="1"/>
        <v>2.8</v>
      </c>
      <c r="J40" s="602" t="str">
        <f t="shared" si="2"/>
        <v>Общепроизводственные расходы, в том числе:</v>
      </c>
      <c r="K40" s="602" t="str">
        <f t="shared" si="3"/>
        <v>Указывается общая сумма общепроизводственных расходов.</v>
      </c>
      <c r="L40" s="494" t="str">
        <f t="shared" si="4"/>
        <v>2.8</v>
      </c>
      <c r="M40" s="494" t="str">
        <f t="shared" si="5"/>
        <v>Общепроизводственные расходы, в том числе:</v>
      </c>
      <c r="N40" s="494" t="str">
        <f t="shared" si="6"/>
        <v>Указывается общая сумма общепроизводственных расходов.</v>
      </c>
      <c r="O40" s="561" t="s">
        <v>1425</v>
      </c>
      <c r="P40" s="561" t="s">
        <v>1412</v>
      </c>
      <c r="Q40" s="561" t="s">
        <v>1425</v>
      </c>
      <c r="R40" s="561" t="s">
        <v>1412</v>
      </c>
      <c r="S40" s="561"/>
      <c r="T40" s="493" t="s">
        <v>1426</v>
      </c>
      <c r="U40" s="493" t="s">
        <v>1426</v>
      </c>
      <c r="V40" s="493" t="s">
        <v>1426</v>
      </c>
      <c r="W40" s="493" t="s">
        <v>1426</v>
      </c>
      <c r="X40" s="493"/>
      <c r="Y40" s="599"/>
      <c r="Z40" s="496" t="s">
        <v>1427</v>
      </c>
      <c r="AA40" s="499" t="s">
        <v>1427</v>
      </c>
      <c r="AB40" s="499" t="s">
        <v>1427</v>
      </c>
      <c r="AC40" s="499" t="s">
        <v>1427</v>
      </c>
      <c r="AD40" s="496"/>
    </row>
    <row r="41" spans="1:30" ht="27" customHeight="1">
      <c r="A41" s="495"/>
      <c r="B41" s="536">
        <v>24</v>
      </c>
      <c r="C41" s="493" t="s">
        <v>1428</v>
      </c>
      <c r="D41" s="571"/>
      <c r="E41" s="493"/>
      <c r="F41" s="493"/>
      <c r="G41" s="493"/>
      <c r="H41" s="531"/>
      <c r="I41" s="602" t="str">
        <f t="shared" si="1"/>
        <v>2.8.1</v>
      </c>
      <c r="J41" s="602" t="str">
        <f t="shared" si="2"/>
        <v>Расходы на текущий ремонт</v>
      </c>
      <c r="K41" s="602" t="str">
        <f t="shared" si="3"/>
        <v>Указываются расходы на текущий ремонт, отнесенные к общепроизводственным расходам.</v>
      </c>
      <c r="L41" s="494" t="str">
        <f t="shared" si="4"/>
        <v>2.8.1</v>
      </c>
      <c r="M41" s="494" t="str">
        <f t="shared" si="5"/>
        <v>Расходы на текущий ремонт</v>
      </c>
      <c r="N41" s="494" t="str">
        <f t="shared" si="6"/>
        <v>Указываются расходы на текущий ремонт, отнесенные к общепроизводственным расходам.</v>
      </c>
      <c r="O41" s="561" t="s">
        <v>1429</v>
      </c>
      <c r="P41" s="561" t="s">
        <v>1415</v>
      </c>
      <c r="Q41" s="561" t="s">
        <v>1429</v>
      </c>
      <c r="R41" s="561" t="s">
        <v>1415</v>
      </c>
      <c r="S41" s="561"/>
      <c r="T41" s="493" t="s">
        <v>1430</v>
      </c>
      <c r="U41" s="493" t="s">
        <v>1430</v>
      </c>
      <c r="V41" s="493" t="s">
        <v>1430</v>
      </c>
      <c r="W41" s="493" t="s">
        <v>1430</v>
      </c>
      <c r="X41" s="493"/>
      <c r="Y41" s="599"/>
      <c r="Z41" s="496" t="s">
        <v>1431</v>
      </c>
      <c r="AA41" s="496" t="s">
        <v>1431</v>
      </c>
      <c r="AB41" s="496" t="s">
        <v>1431</v>
      </c>
      <c r="AC41" s="496" t="s">
        <v>1431</v>
      </c>
      <c r="AD41" s="496"/>
    </row>
    <row r="42" spans="1:30" ht="27" customHeight="1">
      <c r="A42" s="495"/>
      <c r="B42" s="536">
        <v>25</v>
      </c>
      <c r="C42" s="493" t="s">
        <v>1432</v>
      </c>
      <c r="D42" s="571"/>
      <c r="E42" s="493"/>
      <c r="F42" s="493"/>
      <c r="G42" s="493"/>
      <c r="H42" s="531"/>
      <c r="I42" s="602" t="str">
        <f t="shared" si="1"/>
        <v>2.8.2</v>
      </c>
      <c r="J42" s="602" t="str">
        <f t="shared" si="2"/>
        <v>Расходы на капитальный ремонт</v>
      </c>
      <c r="K42" s="602" t="str">
        <f t="shared" si="3"/>
        <v>Указываются расходы на капитальный ремонт, отнесенные к общепроизводственным расходам.</v>
      </c>
      <c r="L42" s="494" t="str">
        <f t="shared" si="4"/>
        <v>2.8.2</v>
      </c>
      <c r="M42" s="494" t="str">
        <f t="shared" si="5"/>
        <v>Расходы на капитальный ремонт</v>
      </c>
      <c r="N42" s="494" t="str">
        <f t="shared" si="6"/>
        <v>Указываются расходы на капитальный ремонт, отнесенные к общепроизводственным расходам.</v>
      </c>
      <c r="O42" s="561" t="s">
        <v>1433</v>
      </c>
      <c r="P42" s="561" t="s">
        <v>1418</v>
      </c>
      <c r="Q42" s="561" t="s">
        <v>1433</v>
      </c>
      <c r="R42" s="561" t="s">
        <v>1418</v>
      </c>
      <c r="S42" s="561"/>
      <c r="T42" s="493" t="s">
        <v>1434</v>
      </c>
      <c r="U42" s="493" t="s">
        <v>1434</v>
      </c>
      <c r="V42" s="493" t="s">
        <v>1434</v>
      </c>
      <c r="W42" s="493" t="s">
        <v>1434</v>
      </c>
      <c r="X42" s="493"/>
      <c r="Y42" s="599"/>
      <c r="Z42" s="496" t="s">
        <v>1435</v>
      </c>
      <c r="AA42" s="496" t="s">
        <v>1435</v>
      </c>
      <c r="AB42" s="496" t="s">
        <v>1435</v>
      </c>
      <c r="AC42" s="496" t="s">
        <v>1435</v>
      </c>
      <c r="AD42" s="496"/>
    </row>
    <row r="43" spans="1:30" ht="18" customHeight="1">
      <c r="A43" s="495"/>
      <c r="B43" s="536">
        <v>26</v>
      </c>
      <c r="C43" s="493">
        <v>14</v>
      </c>
      <c r="D43" s="571"/>
      <c r="E43" s="493"/>
      <c r="F43" s="493"/>
      <c r="G43" s="493"/>
      <c r="H43" s="531"/>
      <c r="I43" s="602" t="str">
        <f t="shared" si="1"/>
        <v>2.9</v>
      </c>
      <c r="J43" s="602" t="str">
        <f t="shared" si="2"/>
        <v>Общехозяйственные расходы, в том числе:</v>
      </c>
      <c r="K43" s="602" t="str">
        <f t="shared" si="3"/>
        <v>Указывается общая сумма общехозяйственных расходов.</v>
      </c>
      <c r="L43" s="494" t="str">
        <f t="shared" si="4"/>
        <v>2.9</v>
      </c>
      <c r="M43" s="494" t="str">
        <f t="shared" si="5"/>
        <v>Общехозяйственные расходы, в том числе:</v>
      </c>
      <c r="N43" s="494" t="str">
        <f t="shared" si="6"/>
        <v>Указывается общая сумма общехозяйственных расходов.</v>
      </c>
      <c r="O43" s="561" t="s">
        <v>1436</v>
      </c>
      <c r="P43" s="561" t="s">
        <v>1420</v>
      </c>
      <c r="Q43" s="561" t="s">
        <v>1436</v>
      </c>
      <c r="R43" s="561" t="s">
        <v>1420</v>
      </c>
      <c r="S43" s="561"/>
      <c r="T43" s="493" t="s">
        <v>1437</v>
      </c>
      <c r="U43" s="493" t="s">
        <v>1437</v>
      </c>
      <c r="V43" s="493" t="s">
        <v>1437</v>
      </c>
      <c r="W43" s="493" t="s">
        <v>1437</v>
      </c>
      <c r="X43" s="493"/>
      <c r="Y43" s="599"/>
      <c r="Z43" s="496" t="s">
        <v>1438</v>
      </c>
      <c r="AA43" s="496" t="s">
        <v>1438</v>
      </c>
      <c r="AB43" s="496" t="s">
        <v>1438</v>
      </c>
      <c r="AC43" s="496" t="s">
        <v>1438</v>
      </c>
      <c r="AD43" s="496"/>
    </row>
    <row r="44" spans="1:30" ht="27" customHeight="1">
      <c r="A44" s="495"/>
      <c r="B44" s="536">
        <v>27</v>
      </c>
      <c r="C44" s="493" t="s">
        <v>1439</v>
      </c>
      <c r="D44" s="571"/>
      <c r="E44" s="493"/>
      <c r="F44" s="493"/>
      <c r="G44" s="493"/>
      <c r="H44" s="531"/>
      <c r="I44" s="602" t="str">
        <f t="shared" si="1"/>
        <v>2.9.1</v>
      </c>
      <c r="J44" s="602" t="str">
        <f t="shared" si="2"/>
        <v>Расходы на текущий ремонт</v>
      </c>
      <c r="K44" s="602" t="str">
        <f t="shared" si="3"/>
        <v>Указываются расходы на текущий ремонт, отнесенные к общехозяйственным расходам.</v>
      </c>
      <c r="L44" s="494" t="str">
        <f t="shared" si="4"/>
        <v>2.9.1</v>
      </c>
      <c r="M44" s="494" t="str">
        <f t="shared" si="5"/>
        <v>Расходы на текущий ремонт</v>
      </c>
      <c r="N44" s="494" t="str">
        <f t="shared" si="6"/>
        <v>Указываются расходы на текущий ремонт, отнесенные к общехозяйственным расходам.</v>
      </c>
      <c r="O44" s="561" t="s">
        <v>1440</v>
      </c>
      <c r="P44" s="561" t="s">
        <v>1441</v>
      </c>
      <c r="Q44" s="561" t="s">
        <v>1440</v>
      </c>
      <c r="R44" s="561" t="s">
        <v>1441</v>
      </c>
      <c r="S44" s="561"/>
      <c r="T44" s="493" t="s">
        <v>1430</v>
      </c>
      <c r="U44" s="493" t="s">
        <v>1430</v>
      </c>
      <c r="V44" s="493" t="s">
        <v>1430</v>
      </c>
      <c r="W44" s="493" t="s">
        <v>1430</v>
      </c>
      <c r="X44" s="493"/>
      <c r="Y44" s="599"/>
      <c r="Z44" s="496" t="s">
        <v>1442</v>
      </c>
      <c r="AA44" s="496" t="s">
        <v>1442</v>
      </c>
      <c r="AB44" s="496" t="s">
        <v>1442</v>
      </c>
      <c r="AC44" s="496" t="s">
        <v>1442</v>
      </c>
      <c r="AD44" s="496"/>
    </row>
    <row r="45" spans="1:30" ht="27" customHeight="1">
      <c r="A45" s="495"/>
      <c r="B45" s="536">
        <v>28</v>
      </c>
      <c r="C45" s="493" t="s">
        <v>1443</v>
      </c>
      <c r="D45" s="571"/>
      <c r="E45" s="493"/>
      <c r="F45" s="493"/>
      <c r="G45" s="493"/>
      <c r="H45" s="531"/>
      <c r="I45" s="602" t="str">
        <f t="shared" si="1"/>
        <v>2.9.2</v>
      </c>
      <c r="J45" s="602" t="str">
        <f t="shared" si="2"/>
        <v>Расходы на капитальный ремонт</v>
      </c>
      <c r="K45" s="602" t="str">
        <f t="shared" si="3"/>
        <v>Указываются расходы на капитальный ремонт, отнесенные к общехозяйственным расходам.</v>
      </c>
      <c r="L45" s="494" t="str">
        <f t="shared" si="4"/>
        <v>2.9.2</v>
      </c>
      <c r="M45" s="494" t="str">
        <f t="shared" si="5"/>
        <v>Расходы на капитальный ремонт</v>
      </c>
      <c r="N45" s="494" t="str">
        <f t="shared" si="6"/>
        <v>Указываются расходы на капитальный ремонт, отнесенные к общехозяйственным расходам.</v>
      </c>
      <c r="O45" s="561" t="s">
        <v>1444</v>
      </c>
      <c r="P45" s="561" t="s">
        <v>1445</v>
      </c>
      <c r="Q45" s="561" t="s">
        <v>1444</v>
      </c>
      <c r="R45" s="561" t="s">
        <v>1445</v>
      </c>
      <c r="S45" s="561"/>
      <c r="T45" s="493" t="s">
        <v>1434</v>
      </c>
      <c r="U45" s="493" t="s">
        <v>1434</v>
      </c>
      <c r="V45" s="493" t="s">
        <v>1434</v>
      </c>
      <c r="W45" s="493" t="s">
        <v>1434</v>
      </c>
      <c r="X45" s="493"/>
      <c r="Y45" s="599"/>
      <c r="Z45" s="496" t="s">
        <v>1446</v>
      </c>
      <c r="AA45" s="496" t="s">
        <v>1446</v>
      </c>
      <c r="AB45" s="496" t="s">
        <v>1446</v>
      </c>
      <c r="AC45" s="496" t="s">
        <v>1446</v>
      </c>
      <c r="AD45" s="496"/>
    </row>
    <row r="46" spans="1:30" ht="54" customHeight="1">
      <c r="A46" s="495"/>
      <c r="B46" s="536">
        <v>29</v>
      </c>
      <c r="C46" s="493">
        <v>15</v>
      </c>
      <c r="D46" s="571"/>
      <c r="E46" s="493"/>
      <c r="F46" s="493"/>
      <c r="G46" s="493"/>
      <c r="H46" s="531"/>
      <c r="I46" s="602" t="str">
        <f t="shared" si="1"/>
        <v>2.10</v>
      </c>
      <c r="J46" s="602" t="str">
        <f t="shared" si="2"/>
        <v>Расходы на капитальный и текущий ремонт основных средств</v>
      </c>
      <c r="K46" s="60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94" t="str">
        <f t="shared" si="4"/>
        <v>2.10</v>
      </c>
      <c r="M46" s="494" t="str">
        <f t="shared" si="5"/>
        <v>Расходы на капитальный и текущий ремонт основных средств</v>
      </c>
      <c r="N46" s="49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61" t="s">
        <v>1447</v>
      </c>
      <c r="P46" s="561" t="s">
        <v>1425</v>
      </c>
      <c r="Q46" s="561" t="s">
        <v>1447</v>
      </c>
      <c r="R46" s="561" t="s">
        <v>1425</v>
      </c>
      <c r="S46" s="561"/>
      <c r="T46" s="493" t="s">
        <v>1448</v>
      </c>
      <c r="U46" s="493" t="s">
        <v>1448</v>
      </c>
      <c r="V46" s="493" t="s">
        <v>1448</v>
      </c>
      <c r="W46" s="493" t="s">
        <v>1448</v>
      </c>
      <c r="X46" s="493"/>
      <c r="Y46" s="599"/>
      <c r="Z46" s="496" t="s">
        <v>1449</v>
      </c>
      <c r="AA46" s="496" t="s">
        <v>1450</v>
      </c>
      <c r="AB46" s="496" t="s">
        <v>1450</v>
      </c>
      <c r="AC46" s="496" t="s">
        <v>1450</v>
      </c>
      <c r="AD46" s="496"/>
    </row>
    <row r="47" spans="1:30" ht="54" customHeight="1">
      <c r="A47" s="495"/>
      <c r="B47" s="536">
        <v>30</v>
      </c>
      <c r="C47" s="493" t="s">
        <v>1451</v>
      </c>
      <c r="D47" s="571"/>
      <c r="E47" s="493"/>
      <c r="F47" s="493"/>
      <c r="G47" s="493"/>
      <c r="H47" s="531"/>
      <c r="I47" s="602" t="str">
        <f t="shared" si="1"/>
        <v>2.10.1</v>
      </c>
      <c r="J47" s="60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602">
        <f t="shared" si="3"/>
        <v>0</v>
      </c>
      <c r="L47" s="494" t="str">
        <f t="shared" si="4"/>
        <v>2.10.1</v>
      </c>
      <c r="M47" s="49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94" t="str">
        <f t="shared" si="6"/>
        <v/>
      </c>
      <c r="O47" s="561" t="s">
        <v>1452</v>
      </c>
      <c r="P47" s="561" t="s">
        <v>1429</v>
      </c>
      <c r="Q47" s="561" t="s">
        <v>1452</v>
      </c>
      <c r="R47" s="561" t="s">
        <v>1429</v>
      </c>
      <c r="S47" s="561"/>
      <c r="T47" s="493" t="s">
        <v>1453</v>
      </c>
      <c r="U47" s="493" t="s">
        <v>1453</v>
      </c>
      <c r="V47" s="493" t="s">
        <v>1453</v>
      </c>
      <c r="W47" s="493" t="s">
        <v>1453</v>
      </c>
      <c r="X47" s="493"/>
      <c r="Y47" s="599"/>
      <c r="Z47" s="496"/>
      <c r="AA47" s="499"/>
      <c r="AB47" s="499"/>
      <c r="AC47" s="499"/>
      <c r="AD47" s="496"/>
    </row>
    <row r="48" spans="1:30" ht="54" customHeight="1">
      <c r="A48" s="495"/>
      <c r="B48" s="536">
        <v>31</v>
      </c>
      <c r="C48" s="493">
        <v>16</v>
      </c>
      <c r="D48" s="571"/>
      <c r="E48" s="493"/>
      <c r="F48" s="493"/>
      <c r="G48" s="493"/>
      <c r="H48" s="531"/>
      <c r="I48" s="602" t="str">
        <f t="shared" si="1"/>
        <v>2.11</v>
      </c>
      <c r="J48" s="602"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60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94" t="str">
        <f t="shared" si="4"/>
        <v>2.11</v>
      </c>
      <c r="M48" s="494"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9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61"/>
      <c r="P48" s="561" t="s">
        <v>1436</v>
      </c>
      <c r="Q48" s="561" t="s">
        <v>1454</v>
      </c>
      <c r="R48" s="561" t="s">
        <v>1436</v>
      </c>
      <c r="S48" s="561"/>
      <c r="T48" s="493"/>
      <c r="U48" s="493" t="s">
        <v>1455</v>
      </c>
      <c r="V48" s="493" t="s">
        <v>1456</v>
      </c>
      <c r="W48" s="493" t="s">
        <v>1456</v>
      </c>
      <c r="X48" s="493"/>
      <c r="Y48" s="599"/>
      <c r="Z48" s="496"/>
      <c r="AA48" s="499" t="s">
        <v>1450</v>
      </c>
      <c r="AB48" s="499" t="s">
        <v>1450</v>
      </c>
      <c r="AC48" s="499" t="s">
        <v>1450</v>
      </c>
      <c r="AD48" s="496"/>
    </row>
    <row r="49" spans="1:30" ht="54" customHeight="1">
      <c r="A49" s="495"/>
      <c r="B49" s="536">
        <v>32</v>
      </c>
      <c r="C49" s="493" t="s">
        <v>1457</v>
      </c>
      <c r="D49" s="571"/>
      <c r="E49" s="493"/>
      <c r="F49" s="493"/>
      <c r="G49" s="493"/>
      <c r="H49" s="531"/>
      <c r="I49" s="602" t="str">
        <f t="shared" si="1"/>
        <v>2.11.1</v>
      </c>
      <c r="J49" s="60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602">
        <f t="shared" si="3"/>
        <v>0</v>
      </c>
      <c r="L49" s="494" t="str">
        <f t="shared" si="4"/>
        <v>2.11.1</v>
      </c>
      <c r="M49" s="49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94" t="str">
        <f t="shared" si="6"/>
        <v/>
      </c>
      <c r="O49" s="561"/>
      <c r="P49" s="561" t="s">
        <v>1440</v>
      </c>
      <c r="Q49" s="561" t="s">
        <v>1458</v>
      </c>
      <c r="R49" s="561" t="s">
        <v>1440</v>
      </c>
      <c r="S49" s="561"/>
      <c r="T49" s="493"/>
      <c r="U49" s="493" t="s">
        <v>1453</v>
      </c>
      <c r="V49" s="493" t="s">
        <v>1453</v>
      </c>
      <c r="W49" s="493" t="s">
        <v>1453</v>
      </c>
      <c r="X49" s="493"/>
      <c r="Y49" s="599"/>
      <c r="Z49" s="496"/>
      <c r="AA49" s="499"/>
      <c r="AB49" s="499"/>
      <c r="AC49" s="499"/>
      <c r="AD49" s="496"/>
    </row>
    <row r="50" spans="1:30" ht="126" customHeight="1">
      <c r="A50" s="495"/>
      <c r="B50" s="536">
        <v>33</v>
      </c>
      <c r="C50" s="493">
        <v>17</v>
      </c>
      <c r="D50" s="571"/>
      <c r="E50" s="493"/>
      <c r="F50" s="493"/>
      <c r="G50" s="493"/>
      <c r="H50" s="531"/>
      <c r="I50" s="602" t="str">
        <f t="shared" ref="I50:I81" si="7">INDEX(TEMPLATE_NUMBER_POINT_FHD,B50,MATCH(TEMPLATE_SPHERE,TEMPLATE_SPHERE_LIST_FOR_NOTE,0))</f>
        <v>2.12</v>
      </c>
      <c r="J50" s="602"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60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94" t="str">
        <f t="shared" ref="L50:L81" si="10">IF(I50=0,"",I50)</f>
        <v>2.12</v>
      </c>
      <c r="M50" s="494"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9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61" t="s">
        <v>1454</v>
      </c>
      <c r="P50" s="561" t="s">
        <v>1447</v>
      </c>
      <c r="Q50" s="561" t="s">
        <v>1459</v>
      </c>
      <c r="R50" s="561" t="s">
        <v>1447</v>
      </c>
      <c r="S50" s="561"/>
      <c r="T50" s="493" t="s">
        <v>1460</v>
      </c>
      <c r="U50" s="493" t="s">
        <v>1461</v>
      </c>
      <c r="V50" s="493" t="s">
        <v>1462</v>
      </c>
      <c r="W50" s="493" t="s">
        <v>1463</v>
      </c>
      <c r="X50" s="493"/>
      <c r="Y50" s="599"/>
      <c r="Z50" s="496" t="s">
        <v>1464</v>
      </c>
      <c r="AA50" s="499" t="s">
        <v>1465</v>
      </c>
      <c r="AB50" s="499" t="s">
        <v>1465</v>
      </c>
      <c r="AC50" s="499" t="s">
        <v>1465</v>
      </c>
      <c r="AD50" s="496"/>
    </row>
    <row r="51" spans="1:30" ht="27" customHeight="1">
      <c r="A51" s="495"/>
      <c r="B51" s="536">
        <v>34</v>
      </c>
      <c r="C51" s="493" t="s">
        <v>1466</v>
      </c>
      <c r="D51" s="571"/>
      <c r="E51" s="493"/>
      <c r="F51" s="493"/>
      <c r="G51" s="493"/>
      <c r="H51" s="531"/>
      <c r="I51" s="602">
        <f t="shared" si="7"/>
        <v>0</v>
      </c>
      <c r="J51" s="602">
        <f t="shared" si="8"/>
        <v>0</v>
      </c>
      <c r="K51" s="602">
        <f t="shared" si="9"/>
        <v>0</v>
      </c>
      <c r="L51" s="494" t="str">
        <f t="shared" si="10"/>
        <v/>
      </c>
      <c r="M51" s="494" t="str">
        <f t="shared" si="11"/>
        <v/>
      </c>
      <c r="N51" s="494" t="str">
        <f t="shared" si="12"/>
        <v/>
      </c>
      <c r="O51" s="561" t="s">
        <v>90</v>
      </c>
      <c r="P51" s="561"/>
      <c r="Q51" s="561"/>
      <c r="R51" s="561"/>
      <c r="S51" s="561"/>
      <c r="T51" s="493" t="s">
        <v>1467</v>
      </c>
      <c r="U51" s="493"/>
      <c r="V51" s="493"/>
      <c r="W51" s="493"/>
      <c r="X51" s="493"/>
      <c r="Y51" s="599"/>
      <c r="Z51" s="496"/>
      <c r="AA51" s="499"/>
      <c r="AB51" s="499"/>
      <c r="AC51" s="499"/>
      <c r="AD51" s="496"/>
    </row>
    <row r="52" spans="1:30" ht="36" customHeight="1">
      <c r="A52" s="495"/>
      <c r="B52" s="536">
        <v>35</v>
      </c>
      <c r="C52" s="493" t="s">
        <v>1346</v>
      </c>
      <c r="D52" s="571" t="s">
        <v>1346</v>
      </c>
      <c r="E52" s="493" t="s">
        <v>1346</v>
      </c>
      <c r="F52" s="493" t="s">
        <v>1346</v>
      </c>
      <c r="G52" s="493"/>
      <c r="H52" s="531"/>
      <c r="I52" s="602" t="str">
        <f t="shared" si="7"/>
        <v>3</v>
      </c>
      <c r="J52" s="602" t="str">
        <f t="shared" si="8"/>
        <v>Чистая прибыль, полученная от регулируемого вида деятельности в сфере холодного водоснабжения, в том числе:</v>
      </c>
      <c r="K52" s="602" t="str">
        <f t="shared" si="9"/>
        <v>Указывается общая сумма чистой прибыли, полученной от регулируемого вида деятельности.</v>
      </c>
      <c r="L52" s="494" t="str">
        <f t="shared" si="10"/>
        <v>3</v>
      </c>
      <c r="M52" s="494" t="str">
        <f t="shared" si="11"/>
        <v>Чистая прибыль, полученная от регулируемого вида деятельности в сфере холодного водоснабжения, в том числе:</v>
      </c>
      <c r="N52" s="494" t="str">
        <f t="shared" si="12"/>
        <v>Указывается общая сумма чистой прибыли, полученной от регулируемого вида деятельности.</v>
      </c>
      <c r="O52" s="561" t="s">
        <v>91</v>
      </c>
      <c r="P52" s="561" t="s">
        <v>90</v>
      </c>
      <c r="Q52" s="561" t="s">
        <v>90</v>
      </c>
      <c r="R52" s="561" t="s">
        <v>90</v>
      </c>
      <c r="S52" s="561"/>
      <c r="T52" s="493" t="s">
        <v>1468</v>
      </c>
      <c r="U52" s="493" t="s">
        <v>1469</v>
      </c>
      <c r="V52" s="493" t="s">
        <v>1470</v>
      </c>
      <c r="W52" s="493" t="s">
        <v>1471</v>
      </c>
      <c r="X52" s="493"/>
      <c r="Y52" s="599"/>
      <c r="Z52" s="496" t="s">
        <v>1472</v>
      </c>
      <c r="AA52" s="499" t="s">
        <v>1472</v>
      </c>
      <c r="AB52" s="499" t="s">
        <v>1472</v>
      </c>
      <c r="AC52" s="499" t="s">
        <v>1472</v>
      </c>
      <c r="AD52" s="496"/>
    </row>
    <row r="53" spans="1:30" ht="36" customHeight="1">
      <c r="A53" s="495"/>
      <c r="B53" s="536">
        <v>36</v>
      </c>
      <c r="C53" s="493">
        <v>1</v>
      </c>
      <c r="D53" s="571"/>
      <c r="E53" s="493"/>
      <c r="F53" s="493"/>
      <c r="G53" s="493"/>
      <c r="H53" s="531"/>
      <c r="I53" s="602" t="str">
        <f t="shared" si="7"/>
        <v>3.1</v>
      </c>
      <c r="J53" s="60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602">
        <f t="shared" si="9"/>
        <v>0</v>
      </c>
      <c r="L53" s="494" t="str">
        <f t="shared" si="10"/>
        <v>3.1</v>
      </c>
      <c r="M53" s="49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94" t="str">
        <f t="shared" si="12"/>
        <v/>
      </c>
      <c r="O53" s="561" t="s">
        <v>1473</v>
      </c>
      <c r="P53" s="561" t="s">
        <v>328</v>
      </c>
      <c r="Q53" s="561" t="s">
        <v>328</v>
      </c>
      <c r="R53" s="561" t="s">
        <v>328</v>
      </c>
      <c r="S53" s="561"/>
      <c r="T53" s="493" t="s">
        <v>1474</v>
      </c>
      <c r="U53" s="493" t="s">
        <v>1474</v>
      </c>
      <c r="V53" s="493" t="s">
        <v>1474</v>
      </c>
      <c r="W53" s="493" t="s">
        <v>1474</v>
      </c>
      <c r="X53" s="493"/>
      <c r="Y53" s="599"/>
      <c r="Z53" s="496"/>
      <c r="AA53" s="499"/>
      <c r="AB53" s="496"/>
      <c r="AC53" s="496"/>
      <c r="AD53" s="496"/>
    </row>
    <row r="54" spans="1:30" ht="18" customHeight="1">
      <c r="A54" s="495"/>
      <c r="B54" s="536">
        <v>37</v>
      </c>
      <c r="C54" s="493" t="s">
        <v>1352</v>
      </c>
      <c r="D54" s="571" t="s">
        <v>1352</v>
      </c>
      <c r="E54" s="493" t="s">
        <v>1352</v>
      </c>
      <c r="F54" s="493" t="s">
        <v>1352</v>
      </c>
      <c r="G54" s="493"/>
      <c r="H54" s="531"/>
      <c r="I54" s="602" t="str">
        <f t="shared" si="7"/>
        <v>4</v>
      </c>
      <c r="J54" s="602" t="str">
        <f t="shared" si="8"/>
        <v>Изменение стоимости основных фондов, в том числе:</v>
      </c>
      <c r="K54" s="602" t="str">
        <f t="shared" si="9"/>
        <v>Указывается общее изменение стоимости основных фондов.</v>
      </c>
      <c r="L54" s="494" t="str">
        <f t="shared" si="10"/>
        <v>4</v>
      </c>
      <c r="M54" s="494" t="str">
        <f t="shared" si="11"/>
        <v>Изменение стоимости основных фондов, в том числе:</v>
      </c>
      <c r="N54" s="494" t="str">
        <f t="shared" si="12"/>
        <v>Указывается общее изменение стоимости основных фондов.</v>
      </c>
      <c r="O54" s="561" t="s">
        <v>120</v>
      </c>
      <c r="P54" s="561" t="s">
        <v>91</v>
      </c>
      <c r="Q54" s="561" t="s">
        <v>91</v>
      </c>
      <c r="R54" s="561" t="s">
        <v>91</v>
      </c>
      <c r="S54" s="561"/>
      <c r="T54" s="493" t="s">
        <v>1475</v>
      </c>
      <c r="U54" s="493" t="s">
        <v>1475</v>
      </c>
      <c r="V54" s="493" t="s">
        <v>1475</v>
      </c>
      <c r="W54" s="493" t="s">
        <v>1475</v>
      </c>
      <c r="X54" s="493"/>
      <c r="Y54" s="599"/>
      <c r="Z54" s="496" t="s">
        <v>1476</v>
      </c>
      <c r="AA54" s="496" t="s">
        <v>1476</v>
      </c>
      <c r="AB54" s="496" t="s">
        <v>1476</v>
      </c>
      <c r="AC54" s="496" t="s">
        <v>1476</v>
      </c>
      <c r="AD54" s="496"/>
    </row>
    <row r="55" spans="1:30" ht="36" customHeight="1">
      <c r="A55" s="495"/>
      <c r="B55" s="536">
        <v>38</v>
      </c>
      <c r="C55" s="493">
        <v>1</v>
      </c>
      <c r="D55" s="571"/>
      <c r="E55" s="493"/>
      <c r="F55" s="493"/>
      <c r="G55" s="493"/>
      <c r="H55" s="531"/>
      <c r="I55" s="602" t="str">
        <f t="shared" si="7"/>
        <v>4.1</v>
      </c>
      <c r="J55" s="602" t="str">
        <f t="shared" si="8"/>
        <v>Изменение стоимости основных фондов за счет их ввода в эксплуатацию (вывода из эксплуатации)</v>
      </c>
      <c r="K55" s="602" t="str">
        <f t="shared" si="9"/>
        <v>Указываются общее изменение стоимости основных фондов за счет их ввода в эксплуатацию и вывода из эксплуатации.</v>
      </c>
      <c r="L55" s="494" t="str">
        <f t="shared" si="10"/>
        <v>4.1</v>
      </c>
      <c r="M55" s="494" t="str">
        <f t="shared" si="11"/>
        <v>Изменение стоимости основных фондов за счет их ввода в эксплуатацию (вывода из эксплуатации)</v>
      </c>
      <c r="N55" s="494" t="str">
        <f t="shared" si="12"/>
        <v>Указываются общее изменение стоимости основных фондов за счет их ввода в эксплуатацию и вывода из эксплуатации.</v>
      </c>
      <c r="O55" s="561" t="s">
        <v>317</v>
      </c>
      <c r="P55" s="561" t="s">
        <v>1473</v>
      </c>
      <c r="Q55" s="561" t="s">
        <v>1473</v>
      </c>
      <c r="R55" s="561" t="s">
        <v>1473</v>
      </c>
      <c r="S55" s="561"/>
      <c r="T55" s="493" t="s">
        <v>1477</v>
      </c>
      <c r="U55" s="493" t="s">
        <v>1478</v>
      </c>
      <c r="V55" s="493" t="s">
        <v>1478</v>
      </c>
      <c r="W55" s="493" t="s">
        <v>1478</v>
      </c>
      <c r="X55" s="493"/>
      <c r="Y55" s="599"/>
      <c r="Z55" s="496" t="s">
        <v>1479</v>
      </c>
      <c r="AA55" s="496" t="s">
        <v>1479</v>
      </c>
      <c r="AB55" s="496" t="s">
        <v>1479</v>
      </c>
      <c r="AC55" s="496" t="s">
        <v>1479</v>
      </c>
      <c r="AD55" s="496"/>
    </row>
    <row r="56" spans="1:30" ht="27" customHeight="1">
      <c r="A56" s="495"/>
      <c r="B56" s="536">
        <v>39</v>
      </c>
      <c r="C56" s="493" t="s">
        <v>440</v>
      </c>
      <c r="D56" s="571"/>
      <c r="E56" s="493"/>
      <c r="F56" s="493"/>
      <c r="G56" s="493"/>
      <c r="H56" s="531"/>
      <c r="I56" s="602" t="str">
        <f t="shared" si="7"/>
        <v>4.1.1</v>
      </c>
      <c r="J56" s="602" t="str">
        <f t="shared" si="8"/>
        <v>Изменение стоимости основных фондов за счет их ввода в эксплуатацию</v>
      </c>
      <c r="K56" s="602" t="str">
        <f t="shared" si="9"/>
        <v>Указываются изменение стоимости основных фондов за счет их ввода в эксплуатацию.</v>
      </c>
      <c r="L56" s="494" t="str">
        <f t="shared" si="10"/>
        <v>4.1.1</v>
      </c>
      <c r="M56" s="494" t="str">
        <f t="shared" si="11"/>
        <v>Изменение стоимости основных фондов за счет их ввода в эксплуатацию</v>
      </c>
      <c r="N56" s="494" t="str">
        <f t="shared" si="12"/>
        <v>Указываются изменение стоимости основных фондов за счет их ввода в эксплуатацию.</v>
      </c>
      <c r="O56" s="561" t="s">
        <v>1480</v>
      </c>
      <c r="P56" s="561" t="s">
        <v>1481</v>
      </c>
      <c r="Q56" s="561" t="s">
        <v>1481</v>
      </c>
      <c r="R56" s="561" t="s">
        <v>1481</v>
      </c>
      <c r="S56" s="561"/>
      <c r="T56" s="493" t="s">
        <v>1482</v>
      </c>
      <c r="U56" s="493" t="s">
        <v>1483</v>
      </c>
      <c r="V56" s="493" t="s">
        <v>1483</v>
      </c>
      <c r="W56" s="493" t="s">
        <v>1483</v>
      </c>
      <c r="X56" s="493"/>
      <c r="Y56" s="599"/>
      <c r="Z56" s="496" t="s">
        <v>1484</v>
      </c>
      <c r="AA56" s="496" t="s">
        <v>1484</v>
      </c>
      <c r="AB56" s="496" t="s">
        <v>1484</v>
      </c>
      <c r="AC56" s="496" t="s">
        <v>1484</v>
      </c>
      <c r="AD56" s="496"/>
    </row>
    <row r="57" spans="1:30" ht="27" customHeight="1">
      <c r="A57" s="495"/>
      <c r="B57" s="536">
        <v>40</v>
      </c>
      <c r="C57" s="493" t="s">
        <v>455</v>
      </c>
      <c r="D57" s="571"/>
      <c r="E57" s="493"/>
      <c r="F57" s="493"/>
      <c r="G57" s="493"/>
      <c r="H57" s="531"/>
      <c r="I57" s="602" t="str">
        <f t="shared" si="7"/>
        <v>4.1.2</v>
      </c>
      <c r="J57" s="602" t="str">
        <f t="shared" si="8"/>
        <v>Изменение стоимости основных фондов за счет их вывода в эксплуатацию</v>
      </c>
      <c r="K57" s="602" t="str">
        <f t="shared" si="9"/>
        <v>Указываются изменение стоимости основных фондов за счет их вывода из эксплуатации.</v>
      </c>
      <c r="L57" s="494" t="str">
        <f t="shared" si="10"/>
        <v>4.1.2</v>
      </c>
      <c r="M57" s="494" t="str">
        <f t="shared" si="11"/>
        <v>Изменение стоимости основных фондов за счет их вывода в эксплуатацию</v>
      </c>
      <c r="N57" s="494" t="str">
        <f t="shared" si="12"/>
        <v>Указываются изменение стоимости основных фондов за счет их вывода из эксплуатации.</v>
      </c>
      <c r="O57" s="561" t="s">
        <v>1485</v>
      </c>
      <c r="P57" s="561" t="s">
        <v>1486</v>
      </c>
      <c r="Q57" s="561" t="s">
        <v>1486</v>
      </c>
      <c r="R57" s="561" t="s">
        <v>1486</v>
      </c>
      <c r="S57" s="561"/>
      <c r="T57" s="493" t="s">
        <v>1487</v>
      </c>
      <c r="U57" s="493" t="s">
        <v>1488</v>
      </c>
      <c r="V57" s="493" t="s">
        <v>1488</v>
      </c>
      <c r="W57" s="493" t="s">
        <v>1488</v>
      </c>
      <c r="X57" s="493"/>
      <c r="Y57" s="599"/>
      <c r="Z57" s="496" t="s">
        <v>1489</v>
      </c>
      <c r="AA57" s="496" t="s">
        <v>1489</v>
      </c>
      <c r="AB57" s="496" t="s">
        <v>1489</v>
      </c>
      <c r="AC57" s="496" t="s">
        <v>1489</v>
      </c>
      <c r="AD57" s="496"/>
    </row>
    <row r="58" spans="1:30" ht="18" customHeight="1">
      <c r="A58" s="495"/>
      <c r="B58" s="536">
        <v>41</v>
      </c>
      <c r="C58" s="493">
        <v>2</v>
      </c>
      <c r="D58" s="571"/>
      <c r="E58" s="493"/>
      <c r="F58" s="493"/>
      <c r="G58" s="493"/>
      <c r="H58" s="531"/>
      <c r="I58" s="602" t="str">
        <f t="shared" si="7"/>
        <v>4.2</v>
      </c>
      <c r="J58" s="602" t="str">
        <f t="shared" si="8"/>
        <v>Изменение стоимости основных фондов за счет их переоценки</v>
      </c>
      <c r="K58" s="602">
        <f t="shared" si="9"/>
        <v>0</v>
      </c>
      <c r="L58" s="494" t="str">
        <f t="shared" si="10"/>
        <v>4.2</v>
      </c>
      <c r="M58" s="494" t="str">
        <f t="shared" si="11"/>
        <v>Изменение стоимости основных фондов за счет их переоценки</v>
      </c>
      <c r="N58" s="494" t="str">
        <f t="shared" si="12"/>
        <v/>
      </c>
      <c r="O58" s="561" t="s">
        <v>319</v>
      </c>
      <c r="P58" s="561" t="s">
        <v>1490</v>
      </c>
      <c r="Q58" s="561" t="s">
        <v>1490</v>
      </c>
      <c r="R58" s="561" t="s">
        <v>1490</v>
      </c>
      <c r="S58" s="561"/>
      <c r="T58" s="493" t="s">
        <v>1491</v>
      </c>
      <c r="U58" s="493" t="s">
        <v>1491</v>
      </c>
      <c r="V58" s="493" t="s">
        <v>1491</v>
      </c>
      <c r="W58" s="493" t="s">
        <v>1491</v>
      </c>
      <c r="X58" s="493"/>
      <c r="Y58" s="599"/>
      <c r="Z58" s="496"/>
      <c r="AA58" s="499"/>
      <c r="AB58" s="496"/>
      <c r="AC58" s="496"/>
      <c r="AD58" s="496"/>
    </row>
    <row r="59" spans="1:30" ht="36" customHeight="1">
      <c r="A59" s="495"/>
      <c r="B59" s="536">
        <v>42</v>
      </c>
      <c r="C59" s="493">
        <v>3</v>
      </c>
      <c r="D59" s="571" t="s">
        <v>1466</v>
      </c>
      <c r="E59" s="493" t="s">
        <v>1466</v>
      </c>
      <c r="F59" s="493" t="s">
        <v>1466</v>
      </c>
      <c r="G59" s="493"/>
      <c r="H59" s="531"/>
      <c r="I59" s="602" t="str">
        <f t="shared" si="7"/>
        <v>5</v>
      </c>
      <c r="J59" s="602" t="str">
        <f t="shared" si="8"/>
        <v>Валовая прибыль (убытки) от продажи товаров и услуг по регулируемым видам деятельности в сфере холодного водоснабжения</v>
      </c>
      <c r="K59" s="602">
        <f t="shared" si="9"/>
        <v>0</v>
      </c>
      <c r="L59" s="494" t="str">
        <f t="shared" si="10"/>
        <v>5</v>
      </c>
      <c r="M59" s="494" t="str">
        <f t="shared" si="11"/>
        <v>Валовая прибыль (убытки) от продажи товаров и услуг по регулируемым видам деятельности в сфере холодного водоснабжения</v>
      </c>
      <c r="N59" s="494" t="str">
        <f t="shared" si="12"/>
        <v/>
      </c>
      <c r="O59" s="561"/>
      <c r="P59" s="561" t="s">
        <v>120</v>
      </c>
      <c r="Q59" s="561" t="s">
        <v>120</v>
      </c>
      <c r="R59" s="561" t="s">
        <v>120</v>
      </c>
      <c r="S59" s="561"/>
      <c r="T59" s="493"/>
      <c r="U59" s="493" t="s">
        <v>1492</v>
      </c>
      <c r="V59" s="493" t="s">
        <v>1493</v>
      </c>
      <c r="W59" s="493" t="s">
        <v>1494</v>
      </c>
      <c r="X59" s="493"/>
      <c r="Y59" s="599"/>
      <c r="Z59" s="496"/>
      <c r="AA59" s="499"/>
      <c r="AB59" s="496"/>
      <c r="AC59" s="496"/>
      <c r="AD59" s="496"/>
    </row>
    <row r="60" spans="1:30" ht="81" customHeight="1">
      <c r="A60" s="495"/>
      <c r="B60" s="536">
        <v>43</v>
      </c>
      <c r="C60" s="493" t="s">
        <v>1495</v>
      </c>
      <c r="D60" s="571" t="s">
        <v>1495</v>
      </c>
      <c r="E60" s="493" t="s">
        <v>1495</v>
      </c>
      <c r="F60" s="493" t="s">
        <v>1495</v>
      </c>
      <c r="G60" s="493"/>
      <c r="H60" s="531"/>
      <c r="I60" s="602" t="str">
        <f t="shared" si="7"/>
        <v>6</v>
      </c>
      <c r="J60" s="602" t="str">
        <f t="shared" si="8"/>
        <v>Годовая бухгалтерская (финансовая) отчетность, включая бухгалтерский баланс и приложения к нему</v>
      </c>
      <c r="K60" s="602"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94" t="str">
        <f t="shared" si="10"/>
        <v>6</v>
      </c>
      <c r="M60" s="494" t="str">
        <f t="shared" si="11"/>
        <v>Годовая бухгалтерская (финансовая) отчетность, включая бухгалтерский баланс и приложения к нему</v>
      </c>
      <c r="N60" s="49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61" t="s">
        <v>92</v>
      </c>
      <c r="P60" s="561" t="s">
        <v>92</v>
      </c>
      <c r="Q60" s="561" t="s">
        <v>92</v>
      </c>
      <c r="R60" s="561" t="s">
        <v>92</v>
      </c>
      <c r="S60" s="561"/>
      <c r="T60" s="493" t="s">
        <v>1496</v>
      </c>
      <c r="U60" s="493" t="s">
        <v>1496</v>
      </c>
      <c r="V60" s="493" t="s">
        <v>1496</v>
      </c>
      <c r="W60" s="493" t="s">
        <v>1496</v>
      </c>
      <c r="X60" s="493"/>
      <c r="Y60" s="599"/>
      <c r="Z60" s="496" t="s">
        <v>1497</v>
      </c>
      <c r="AA60" s="499" t="s">
        <v>1498</v>
      </c>
      <c r="AB60" s="496" t="s">
        <v>1499</v>
      </c>
      <c r="AC60" s="496" t="s">
        <v>1498</v>
      </c>
      <c r="AD60" s="496"/>
    </row>
    <row r="61" spans="1:30" ht="9" customHeight="1">
      <c r="A61" s="495"/>
      <c r="B61" s="536">
        <v>44</v>
      </c>
      <c r="C61" s="493"/>
      <c r="D61" s="571" t="s">
        <v>1500</v>
      </c>
      <c r="E61" s="493"/>
      <c r="F61" s="493"/>
      <c r="G61" s="493"/>
      <c r="H61" s="531"/>
      <c r="I61" s="602" t="str">
        <f t="shared" si="7"/>
        <v>7</v>
      </c>
      <c r="J61" s="602" t="str">
        <f t="shared" si="8"/>
        <v>Объём поднятой воды</v>
      </c>
      <c r="K61" s="602">
        <f t="shared" si="9"/>
        <v>0</v>
      </c>
      <c r="L61" s="494" t="str">
        <f t="shared" si="10"/>
        <v>7</v>
      </c>
      <c r="M61" s="494" t="str">
        <f t="shared" si="11"/>
        <v>Объём поднятой воды</v>
      </c>
      <c r="N61" s="494" t="str">
        <f t="shared" si="12"/>
        <v/>
      </c>
      <c r="O61" s="561"/>
      <c r="P61" s="561" t="s">
        <v>93</v>
      </c>
      <c r="Q61" s="561"/>
      <c r="R61" s="561"/>
      <c r="S61" s="561"/>
      <c r="T61" s="493"/>
      <c r="U61" s="493" t="s">
        <v>1501</v>
      </c>
      <c r="V61" s="493"/>
      <c r="W61" s="493"/>
      <c r="X61" s="493"/>
      <c r="Y61" s="599"/>
      <c r="Z61" s="496"/>
      <c r="AA61" s="499"/>
      <c r="AB61" s="496"/>
      <c r="AC61" s="496"/>
      <c r="AD61" s="496"/>
    </row>
    <row r="62" spans="1:30" ht="9" customHeight="1">
      <c r="A62" s="495"/>
      <c r="B62" s="536">
        <v>45</v>
      </c>
      <c r="C62" s="493"/>
      <c r="D62" s="571" t="s">
        <v>1502</v>
      </c>
      <c r="E62" s="493"/>
      <c r="F62" s="493"/>
      <c r="G62" s="493"/>
      <c r="H62" s="531"/>
      <c r="I62" s="602" t="str">
        <f t="shared" si="7"/>
        <v>8</v>
      </c>
      <c r="J62" s="602" t="str">
        <f t="shared" si="8"/>
        <v>Объём покупной воды</v>
      </c>
      <c r="K62" s="602">
        <f t="shared" si="9"/>
        <v>0</v>
      </c>
      <c r="L62" s="494" t="str">
        <f t="shared" si="10"/>
        <v>8</v>
      </c>
      <c r="M62" s="494" t="str">
        <f t="shared" si="11"/>
        <v>Объём покупной воды</v>
      </c>
      <c r="N62" s="494" t="str">
        <f t="shared" si="12"/>
        <v/>
      </c>
      <c r="O62" s="561"/>
      <c r="P62" s="561" t="s">
        <v>121</v>
      </c>
      <c r="Q62" s="561"/>
      <c r="R62" s="561"/>
      <c r="S62" s="561"/>
      <c r="T62" s="493"/>
      <c r="U62" s="493" t="s">
        <v>1503</v>
      </c>
      <c r="V62" s="493"/>
      <c r="W62" s="493"/>
      <c r="X62" s="493"/>
      <c r="Y62" s="599"/>
      <c r="Z62" s="496"/>
      <c r="AA62" s="499"/>
      <c r="AB62" s="496"/>
      <c r="AC62" s="496"/>
      <c r="AD62" s="496"/>
    </row>
    <row r="63" spans="1:30" ht="18" customHeight="1">
      <c r="A63" s="495"/>
      <c r="B63" s="536">
        <v>46</v>
      </c>
      <c r="C63" s="493"/>
      <c r="D63" s="571" t="s">
        <v>1504</v>
      </c>
      <c r="E63" s="493"/>
      <c r="F63" s="493"/>
      <c r="G63" s="493"/>
      <c r="H63" s="531"/>
      <c r="I63" s="602" t="str">
        <f t="shared" si="7"/>
        <v>9</v>
      </c>
      <c r="J63" s="602" t="str">
        <f t="shared" si="8"/>
        <v>Объём воды, пропущенной через очистные сооружения</v>
      </c>
      <c r="K63" s="602">
        <f t="shared" si="9"/>
        <v>0</v>
      </c>
      <c r="L63" s="494" t="str">
        <f t="shared" si="10"/>
        <v>9</v>
      </c>
      <c r="M63" s="494" t="str">
        <f t="shared" si="11"/>
        <v>Объём воды, пропущенной через очистные сооружения</v>
      </c>
      <c r="N63" s="494" t="str">
        <f t="shared" si="12"/>
        <v/>
      </c>
      <c r="O63" s="561"/>
      <c r="P63" s="561" t="s">
        <v>164</v>
      </c>
      <c r="Q63" s="561"/>
      <c r="R63" s="561"/>
      <c r="S63" s="561"/>
      <c r="T63" s="493"/>
      <c r="U63" s="493" t="s">
        <v>1505</v>
      </c>
      <c r="V63" s="493"/>
      <c r="W63" s="493"/>
      <c r="X63" s="493"/>
      <c r="Y63" s="599"/>
      <c r="Z63" s="496"/>
      <c r="AA63" s="499"/>
      <c r="AB63" s="496"/>
      <c r="AC63" s="496"/>
      <c r="AD63" s="496"/>
    </row>
    <row r="64" spans="1:30" ht="18" customHeight="1">
      <c r="A64" s="495"/>
      <c r="B64" s="536">
        <v>47</v>
      </c>
      <c r="C64" s="493"/>
      <c r="D64" s="571" t="s">
        <v>1506</v>
      </c>
      <c r="E64" s="493"/>
      <c r="F64" s="493"/>
      <c r="G64" s="493"/>
      <c r="H64" s="531"/>
      <c r="I64" s="602" t="str">
        <f t="shared" si="7"/>
        <v>10</v>
      </c>
      <c r="J64" s="602" t="str">
        <f t="shared" si="8"/>
        <v>Объём отпущенной потребителям воды, в том числе:</v>
      </c>
      <c r="K64" s="602" t="str">
        <f t="shared" si="9"/>
        <v>Указывается общий объем отпущенной потребителям воды.</v>
      </c>
      <c r="L64" s="494" t="str">
        <f t="shared" si="10"/>
        <v>10</v>
      </c>
      <c r="M64" s="494" t="str">
        <f t="shared" si="11"/>
        <v>Объём отпущенной потребителям воды, в том числе:</v>
      </c>
      <c r="N64" s="494" t="str">
        <f t="shared" si="12"/>
        <v>Указывается общий объем отпущенной потребителям воды.</v>
      </c>
      <c r="O64" s="561"/>
      <c r="P64" s="561" t="s">
        <v>165</v>
      </c>
      <c r="Q64" s="561"/>
      <c r="R64" s="561"/>
      <c r="S64" s="561"/>
      <c r="T64" s="493"/>
      <c r="U64" s="493" t="s">
        <v>1507</v>
      </c>
      <c r="V64" s="493"/>
      <c r="W64" s="493"/>
      <c r="X64" s="493"/>
      <c r="Y64" s="599"/>
      <c r="Z64" s="496"/>
      <c r="AA64" s="499" t="s">
        <v>1508</v>
      </c>
      <c r="AB64" s="496"/>
      <c r="AC64" s="496"/>
      <c r="AD64" s="496"/>
    </row>
    <row r="65" spans="1:30" ht="18" customHeight="1">
      <c r="A65" s="495"/>
      <c r="B65" s="536">
        <v>48</v>
      </c>
      <c r="C65" s="493"/>
      <c r="D65" s="571"/>
      <c r="E65" s="493"/>
      <c r="F65" s="493"/>
      <c r="G65" s="493"/>
      <c r="H65" s="531"/>
      <c r="I65" s="602" t="str">
        <f t="shared" si="7"/>
        <v>10.1</v>
      </c>
      <c r="J65" s="602" t="str">
        <f t="shared" si="8"/>
        <v>Объём отпущенной потребителям воды, определенный по приборам учета</v>
      </c>
      <c r="K65" s="602">
        <f t="shared" si="9"/>
        <v>0</v>
      </c>
      <c r="L65" s="494" t="str">
        <f t="shared" si="10"/>
        <v>10.1</v>
      </c>
      <c r="M65" s="494" t="str">
        <f t="shared" si="11"/>
        <v>Объём отпущенной потребителям воды, определенный по приборам учета</v>
      </c>
      <c r="N65" s="494" t="str">
        <f t="shared" si="12"/>
        <v/>
      </c>
      <c r="O65" s="561"/>
      <c r="P65" s="561" t="s">
        <v>1405</v>
      </c>
      <c r="Q65" s="561"/>
      <c r="R65" s="561"/>
      <c r="S65" s="561"/>
      <c r="T65" s="493"/>
      <c r="U65" s="493" t="s">
        <v>1509</v>
      </c>
      <c r="V65" s="493"/>
      <c r="W65" s="493"/>
      <c r="X65" s="493"/>
      <c r="Y65" s="599"/>
      <c r="Z65" s="496"/>
      <c r="AA65" s="499"/>
      <c r="AB65" s="496"/>
      <c r="AC65" s="496"/>
      <c r="AD65" s="496"/>
    </row>
    <row r="66" spans="1:30" ht="18" customHeight="1">
      <c r="A66" s="495"/>
      <c r="B66" s="536">
        <v>49</v>
      </c>
      <c r="C66" s="493"/>
      <c r="D66" s="571"/>
      <c r="E66" s="493"/>
      <c r="F66" s="493"/>
      <c r="G66" s="493"/>
      <c r="H66" s="531"/>
      <c r="I66" s="602" t="str">
        <f t="shared" si="7"/>
        <v>10.2</v>
      </c>
      <c r="J66" s="602" t="str">
        <f t="shared" si="8"/>
        <v>Объём отпущенной потребителям воды, определенный расчетным способом</v>
      </c>
      <c r="K66" s="602">
        <f t="shared" si="9"/>
        <v>0</v>
      </c>
      <c r="L66" s="494" t="str">
        <f t="shared" si="10"/>
        <v>10.2</v>
      </c>
      <c r="M66" s="494" t="str">
        <f t="shared" si="11"/>
        <v>Объём отпущенной потребителям воды, определенный расчетным способом</v>
      </c>
      <c r="N66" s="494" t="str">
        <f t="shared" si="12"/>
        <v/>
      </c>
      <c r="O66" s="561"/>
      <c r="P66" s="561" t="s">
        <v>1409</v>
      </c>
      <c r="Q66" s="561"/>
      <c r="R66" s="561"/>
      <c r="S66" s="561"/>
      <c r="T66" s="493"/>
      <c r="U66" s="493" t="s">
        <v>1510</v>
      </c>
      <c r="V66" s="493"/>
      <c r="W66" s="493"/>
      <c r="X66" s="493"/>
      <c r="Y66" s="599"/>
      <c r="Z66" s="496"/>
      <c r="AA66" s="499"/>
      <c r="AB66" s="496"/>
      <c r="AC66" s="496"/>
      <c r="AD66" s="496"/>
    </row>
    <row r="67" spans="1:30" ht="27" customHeight="1">
      <c r="A67" s="495"/>
      <c r="B67" s="536">
        <v>50</v>
      </c>
      <c r="C67" s="493"/>
      <c r="D67" s="571"/>
      <c r="E67" s="493"/>
      <c r="F67" s="493"/>
      <c r="G67" s="493"/>
      <c r="H67" s="531"/>
      <c r="I67" s="602" t="str">
        <f t="shared" si="7"/>
        <v>10.2.1</v>
      </c>
      <c r="J67" s="602" t="str">
        <f t="shared" si="8"/>
        <v>Объём отпущенной потребителям воды, определенный по нормативам потребления коммунальных услуг</v>
      </c>
      <c r="K67" s="602">
        <f t="shared" si="9"/>
        <v>0</v>
      </c>
      <c r="L67" s="494" t="str">
        <f t="shared" si="10"/>
        <v>10.2.1</v>
      </c>
      <c r="M67" s="494" t="str">
        <f t="shared" si="11"/>
        <v>Объём отпущенной потребителям воды, определенный по нормативам потребления коммунальных услуг</v>
      </c>
      <c r="N67" s="494" t="str">
        <f t="shared" si="12"/>
        <v/>
      </c>
      <c r="O67" s="561"/>
      <c r="P67" s="561" t="s">
        <v>1511</v>
      </c>
      <c r="Q67" s="561"/>
      <c r="R67" s="561"/>
      <c r="S67" s="561"/>
      <c r="T67" s="493"/>
      <c r="U67" s="493" t="s">
        <v>1512</v>
      </c>
      <c r="V67" s="493"/>
      <c r="W67" s="493"/>
      <c r="X67" s="493"/>
      <c r="Y67" s="599"/>
      <c r="Z67" s="496"/>
      <c r="AA67" s="499"/>
      <c r="AB67" s="496"/>
      <c r="AC67" s="496"/>
      <c r="AD67" s="496"/>
    </row>
    <row r="68" spans="1:30" ht="27" customHeight="1">
      <c r="A68" s="495"/>
      <c r="B68" s="536">
        <v>51</v>
      </c>
      <c r="C68" s="493"/>
      <c r="D68" s="571"/>
      <c r="E68" s="493"/>
      <c r="F68" s="493"/>
      <c r="G68" s="493"/>
      <c r="H68" s="531"/>
      <c r="I68" s="602" t="str">
        <f t="shared" si="7"/>
        <v>10.2.2</v>
      </c>
      <c r="J68" s="602" t="str">
        <f t="shared" si="8"/>
        <v xml:space="preserve">Объём отпущенной потребителям воды, определенный по нормативам потребления коммунальных ресурсов </v>
      </c>
      <c r="K68" s="602">
        <f t="shared" si="9"/>
        <v>0</v>
      </c>
      <c r="L68" s="494" t="str">
        <f t="shared" si="10"/>
        <v>10.2.2</v>
      </c>
      <c r="M68" s="494" t="str">
        <f t="shared" si="11"/>
        <v xml:space="preserve">Объём отпущенной потребителям воды, определенный по нормативам потребления коммунальных ресурсов </v>
      </c>
      <c r="N68" s="494" t="str">
        <f t="shared" si="12"/>
        <v/>
      </c>
      <c r="O68" s="561"/>
      <c r="P68" s="561" t="s">
        <v>1513</v>
      </c>
      <c r="Q68" s="561"/>
      <c r="R68" s="561"/>
      <c r="S68" s="561"/>
      <c r="T68" s="493"/>
      <c r="U68" s="493" t="s">
        <v>1514</v>
      </c>
      <c r="V68" s="493"/>
      <c r="W68" s="493"/>
      <c r="X68" s="493"/>
      <c r="Y68" s="599"/>
      <c r="Z68" s="496"/>
      <c r="AA68" s="499"/>
      <c r="AB68" s="496"/>
      <c r="AC68" s="496"/>
      <c r="AD68" s="496"/>
    </row>
    <row r="69" spans="1:30" ht="9" customHeight="1">
      <c r="A69" s="495"/>
      <c r="B69" s="536">
        <v>52</v>
      </c>
      <c r="C69" s="493"/>
      <c r="D69" s="571" t="s">
        <v>1515</v>
      </c>
      <c r="E69" s="493"/>
      <c r="F69" s="493"/>
      <c r="G69" s="493"/>
      <c r="H69" s="531"/>
      <c r="I69" s="602" t="str">
        <f t="shared" si="7"/>
        <v>11</v>
      </c>
      <c r="J69" s="602" t="str">
        <f t="shared" si="8"/>
        <v>Потери воды в сетях</v>
      </c>
      <c r="K69" s="602">
        <f t="shared" si="9"/>
        <v>0</v>
      </c>
      <c r="L69" s="494" t="str">
        <f t="shared" si="10"/>
        <v>11</v>
      </c>
      <c r="M69" s="494" t="str">
        <f t="shared" si="11"/>
        <v>Потери воды в сетях</v>
      </c>
      <c r="N69" s="494" t="str">
        <f t="shared" si="12"/>
        <v/>
      </c>
      <c r="O69" s="561"/>
      <c r="P69" s="561" t="s">
        <v>166</v>
      </c>
      <c r="Q69" s="561"/>
      <c r="R69" s="561"/>
      <c r="S69" s="561"/>
      <c r="T69" s="493"/>
      <c r="U69" s="493" t="s">
        <v>1516</v>
      </c>
      <c r="V69" s="493"/>
      <c r="W69" s="493"/>
      <c r="X69" s="493"/>
      <c r="Y69" s="599"/>
      <c r="Z69" s="496"/>
      <c r="AA69" s="499"/>
      <c r="AB69" s="496"/>
      <c r="AC69" s="496"/>
      <c r="AD69" s="496"/>
    </row>
    <row r="70" spans="1:30" ht="27" customHeight="1">
      <c r="A70" s="495"/>
      <c r="B70" s="536">
        <v>53</v>
      </c>
      <c r="C70" s="493"/>
      <c r="D70" s="571"/>
      <c r="E70" s="493" t="s">
        <v>1500</v>
      </c>
      <c r="F70" s="493"/>
      <c r="G70" s="493"/>
      <c r="H70" s="531"/>
      <c r="I70" s="602">
        <f t="shared" si="7"/>
        <v>0</v>
      </c>
      <c r="J70" s="602">
        <f t="shared" si="8"/>
        <v>0</v>
      </c>
      <c r="K70" s="602">
        <f t="shared" si="9"/>
        <v>0</v>
      </c>
      <c r="L70" s="494" t="str">
        <f t="shared" si="10"/>
        <v/>
      </c>
      <c r="M70" s="494" t="str">
        <f t="shared" si="11"/>
        <v/>
      </c>
      <c r="N70" s="494" t="str">
        <f t="shared" si="12"/>
        <v/>
      </c>
      <c r="O70" s="561"/>
      <c r="P70" s="561"/>
      <c r="Q70" s="561" t="s">
        <v>93</v>
      </c>
      <c r="R70" s="561"/>
      <c r="S70" s="561"/>
      <c r="T70" s="493"/>
      <c r="U70" s="493"/>
      <c r="V70" s="493" t="s">
        <v>1517</v>
      </c>
      <c r="W70" s="493"/>
      <c r="X70" s="493"/>
      <c r="Y70" s="599"/>
      <c r="Z70" s="496"/>
      <c r="AA70" s="499"/>
      <c r="AB70" s="496"/>
      <c r="AC70" s="496"/>
      <c r="AD70" s="496"/>
    </row>
    <row r="71" spans="1:30" ht="36" customHeight="1">
      <c r="A71" s="495"/>
      <c r="B71" s="536">
        <v>54</v>
      </c>
      <c r="C71" s="493"/>
      <c r="D71" s="571"/>
      <c r="E71" s="493" t="s">
        <v>1502</v>
      </c>
      <c r="F71" s="493"/>
      <c r="G71" s="493"/>
      <c r="H71" s="531"/>
      <c r="I71" s="602">
        <f t="shared" si="7"/>
        <v>0</v>
      </c>
      <c r="J71" s="602">
        <f t="shared" si="8"/>
        <v>0</v>
      </c>
      <c r="K71" s="602">
        <f t="shared" si="9"/>
        <v>0</v>
      </c>
      <c r="L71" s="494" t="str">
        <f t="shared" si="10"/>
        <v/>
      </c>
      <c r="M71" s="494" t="str">
        <f t="shared" si="11"/>
        <v/>
      </c>
      <c r="N71" s="494" t="str">
        <f t="shared" si="12"/>
        <v/>
      </c>
      <c r="O71" s="561"/>
      <c r="P71" s="561"/>
      <c r="Q71" s="561" t="s">
        <v>121</v>
      </c>
      <c r="R71" s="561"/>
      <c r="S71" s="561"/>
      <c r="T71" s="493"/>
      <c r="U71" s="493"/>
      <c r="V71" s="493" t="s">
        <v>1518</v>
      </c>
      <c r="W71" s="493"/>
      <c r="X71" s="493"/>
      <c r="Y71" s="599"/>
      <c r="Z71" s="496"/>
      <c r="AA71" s="499"/>
      <c r="AB71" s="496"/>
      <c r="AC71" s="496"/>
      <c r="AD71" s="496"/>
    </row>
    <row r="72" spans="1:30" ht="27" customHeight="1">
      <c r="A72" s="495"/>
      <c r="B72" s="536">
        <v>55</v>
      </c>
      <c r="C72" s="493"/>
      <c r="D72" s="571"/>
      <c r="E72" s="493" t="s">
        <v>1504</v>
      </c>
      <c r="F72" s="493"/>
      <c r="G72" s="493"/>
      <c r="H72" s="531"/>
      <c r="I72" s="602">
        <f t="shared" si="7"/>
        <v>0</v>
      </c>
      <c r="J72" s="602">
        <f t="shared" si="8"/>
        <v>0</v>
      </c>
      <c r="K72" s="602">
        <f t="shared" si="9"/>
        <v>0</v>
      </c>
      <c r="L72" s="494" t="str">
        <f t="shared" si="10"/>
        <v/>
      </c>
      <c r="M72" s="494" t="str">
        <f t="shared" si="11"/>
        <v/>
      </c>
      <c r="N72" s="494" t="str">
        <f t="shared" si="12"/>
        <v/>
      </c>
      <c r="O72" s="561"/>
      <c r="P72" s="561"/>
      <c r="Q72" s="561" t="s">
        <v>164</v>
      </c>
      <c r="R72" s="561"/>
      <c r="S72" s="561"/>
      <c r="T72" s="493"/>
      <c r="U72" s="493"/>
      <c r="V72" s="493" t="s">
        <v>1519</v>
      </c>
      <c r="W72" s="493"/>
      <c r="X72" s="493"/>
      <c r="Y72" s="599"/>
      <c r="Z72" s="496"/>
      <c r="AA72" s="499"/>
      <c r="AB72" s="496"/>
      <c r="AC72" s="496"/>
      <c r="AD72" s="496"/>
    </row>
    <row r="73" spans="1:30" ht="36" customHeight="1">
      <c r="A73" s="495"/>
      <c r="B73" s="536">
        <v>56</v>
      </c>
      <c r="C73" s="493"/>
      <c r="D73" s="571"/>
      <c r="E73" s="493" t="s">
        <v>1506</v>
      </c>
      <c r="F73" s="493"/>
      <c r="G73" s="493"/>
      <c r="H73" s="531"/>
      <c r="I73" s="602">
        <f t="shared" si="7"/>
        <v>0</v>
      </c>
      <c r="J73" s="602">
        <f t="shared" si="8"/>
        <v>0</v>
      </c>
      <c r="K73" s="602">
        <f t="shared" si="9"/>
        <v>0</v>
      </c>
      <c r="L73" s="494" t="str">
        <f t="shared" si="10"/>
        <v/>
      </c>
      <c r="M73" s="494" t="str">
        <f t="shared" si="11"/>
        <v/>
      </c>
      <c r="N73" s="494" t="str">
        <f t="shared" si="12"/>
        <v/>
      </c>
      <c r="O73" s="561"/>
      <c r="P73" s="561"/>
      <c r="Q73" s="561" t="s">
        <v>165</v>
      </c>
      <c r="R73" s="561"/>
      <c r="S73" s="561"/>
      <c r="T73" s="493"/>
      <c r="U73" s="493"/>
      <c r="V73" s="493" t="s">
        <v>1520</v>
      </c>
      <c r="W73" s="493"/>
      <c r="X73" s="493"/>
      <c r="Y73" s="599"/>
      <c r="Z73" s="496"/>
      <c r="AA73" s="499"/>
      <c r="AB73" s="496"/>
      <c r="AC73" s="496"/>
      <c r="AD73" s="496"/>
    </row>
    <row r="74" spans="1:30" ht="18" customHeight="1">
      <c r="A74" s="495"/>
      <c r="B74" s="536">
        <v>57</v>
      </c>
      <c r="C74" s="493"/>
      <c r="D74" s="571"/>
      <c r="E74" s="493" t="s">
        <v>1515</v>
      </c>
      <c r="F74" s="493"/>
      <c r="G74" s="493"/>
      <c r="H74" s="531"/>
      <c r="I74" s="602">
        <f t="shared" si="7"/>
        <v>0</v>
      </c>
      <c r="J74" s="602">
        <f t="shared" si="8"/>
        <v>0</v>
      </c>
      <c r="K74" s="602">
        <f t="shared" si="9"/>
        <v>0</v>
      </c>
      <c r="L74" s="494" t="str">
        <f t="shared" si="10"/>
        <v/>
      </c>
      <c r="M74" s="494" t="str">
        <f t="shared" si="11"/>
        <v/>
      </c>
      <c r="N74" s="494" t="str">
        <f t="shared" si="12"/>
        <v/>
      </c>
      <c r="O74" s="561"/>
      <c r="P74" s="561"/>
      <c r="Q74" s="561" t="s">
        <v>166</v>
      </c>
      <c r="R74" s="561"/>
      <c r="S74" s="561"/>
      <c r="T74" s="493"/>
      <c r="U74" s="493"/>
      <c r="V74" s="493" t="s">
        <v>1521</v>
      </c>
      <c r="W74" s="493"/>
      <c r="X74" s="493"/>
      <c r="Y74" s="599"/>
      <c r="Z74" s="496"/>
      <c r="AA74" s="499"/>
      <c r="AB74" s="496"/>
      <c r="AC74" s="496"/>
      <c r="AD74" s="496"/>
    </row>
    <row r="75" spans="1:30" ht="18" customHeight="1">
      <c r="A75" s="495"/>
      <c r="B75" s="536">
        <v>58</v>
      </c>
      <c r="C75" s="493"/>
      <c r="D75" s="571"/>
      <c r="E75" s="493"/>
      <c r="F75" s="493" t="s">
        <v>1500</v>
      </c>
      <c r="G75" s="493"/>
      <c r="H75" s="531"/>
      <c r="I75" s="602">
        <f t="shared" si="7"/>
        <v>0</v>
      </c>
      <c r="J75" s="602">
        <f t="shared" si="8"/>
        <v>0</v>
      </c>
      <c r="K75" s="602">
        <f t="shared" si="9"/>
        <v>0</v>
      </c>
      <c r="L75" s="494" t="str">
        <f t="shared" si="10"/>
        <v/>
      </c>
      <c r="M75" s="494" t="str">
        <f t="shared" si="11"/>
        <v/>
      </c>
      <c r="N75" s="494" t="str">
        <f t="shared" si="12"/>
        <v/>
      </c>
      <c r="O75" s="561"/>
      <c r="P75" s="561"/>
      <c r="Q75" s="561"/>
      <c r="R75" s="561" t="s">
        <v>93</v>
      </c>
      <c r="S75" s="561"/>
      <c r="T75" s="493"/>
      <c r="U75" s="493"/>
      <c r="V75" s="493"/>
      <c r="W75" s="493" t="s">
        <v>1522</v>
      </c>
      <c r="X75" s="493"/>
      <c r="Y75" s="599"/>
      <c r="Z75" s="496"/>
      <c r="AA75" s="499"/>
      <c r="AB75" s="496"/>
      <c r="AC75" s="496"/>
      <c r="AD75" s="496"/>
    </row>
    <row r="76" spans="1:30" ht="36" customHeight="1">
      <c r="A76" s="495"/>
      <c r="B76" s="536">
        <v>59</v>
      </c>
      <c r="C76" s="493"/>
      <c r="D76" s="571"/>
      <c r="E76" s="493"/>
      <c r="F76" s="493" t="s">
        <v>1502</v>
      </c>
      <c r="G76" s="493"/>
      <c r="H76" s="531"/>
      <c r="I76" s="602">
        <f t="shared" si="7"/>
        <v>0</v>
      </c>
      <c r="J76" s="602">
        <f t="shared" si="8"/>
        <v>0</v>
      </c>
      <c r="K76" s="602">
        <f t="shared" si="9"/>
        <v>0</v>
      </c>
      <c r="L76" s="494" t="str">
        <f t="shared" si="10"/>
        <v/>
      </c>
      <c r="M76" s="494" t="str">
        <f t="shared" si="11"/>
        <v/>
      </c>
      <c r="N76" s="494" t="str">
        <f t="shared" si="12"/>
        <v/>
      </c>
      <c r="O76" s="561"/>
      <c r="P76" s="561"/>
      <c r="Q76" s="561"/>
      <c r="R76" s="561" t="s">
        <v>121</v>
      </c>
      <c r="S76" s="561"/>
      <c r="T76" s="493"/>
      <c r="U76" s="493"/>
      <c r="V76" s="493"/>
      <c r="W76" s="493" t="s">
        <v>1523</v>
      </c>
      <c r="X76" s="493"/>
      <c r="Y76" s="599"/>
      <c r="Z76" s="496"/>
      <c r="AA76" s="499"/>
      <c r="AB76" s="496"/>
      <c r="AC76" s="496"/>
      <c r="AD76" s="496"/>
    </row>
    <row r="77" spans="1:30" ht="18" customHeight="1">
      <c r="A77" s="495"/>
      <c r="B77" s="536">
        <v>60</v>
      </c>
      <c r="C77" s="493"/>
      <c r="D77" s="571"/>
      <c r="E77" s="493"/>
      <c r="F77" s="493" t="s">
        <v>1504</v>
      </c>
      <c r="G77" s="493"/>
      <c r="H77" s="531"/>
      <c r="I77" s="602">
        <f t="shared" si="7"/>
        <v>0</v>
      </c>
      <c r="J77" s="602">
        <f t="shared" si="8"/>
        <v>0</v>
      </c>
      <c r="K77" s="602">
        <f t="shared" si="9"/>
        <v>0</v>
      </c>
      <c r="L77" s="494" t="str">
        <f t="shared" si="10"/>
        <v/>
      </c>
      <c r="M77" s="494" t="str">
        <f t="shared" si="11"/>
        <v/>
      </c>
      <c r="N77" s="494" t="str">
        <f t="shared" si="12"/>
        <v/>
      </c>
      <c r="O77" s="561"/>
      <c r="P77" s="561"/>
      <c r="Q77" s="561"/>
      <c r="R77" s="561" t="s">
        <v>164</v>
      </c>
      <c r="S77" s="561"/>
      <c r="T77" s="493"/>
      <c r="U77" s="493"/>
      <c r="V77" s="493"/>
      <c r="W77" s="493" t="s">
        <v>1524</v>
      </c>
      <c r="X77" s="493"/>
      <c r="Y77" s="599"/>
      <c r="Z77" s="496"/>
      <c r="AA77" s="499"/>
      <c r="AB77" s="496"/>
      <c r="AC77" s="496"/>
      <c r="AD77" s="496"/>
    </row>
    <row r="78" spans="1:30" ht="72" customHeight="1">
      <c r="A78" s="495"/>
      <c r="B78" s="536">
        <v>61</v>
      </c>
      <c r="C78" s="493" t="s">
        <v>1500</v>
      </c>
      <c r="D78" s="571"/>
      <c r="E78" s="493"/>
      <c r="F78" s="493"/>
      <c r="G78" s="493"/>
      <c r="H78" s="531"/>
      <c r="I78" s="602">
        <f t="shared" si="7"/>
        <v>0</v>
      </c>
      <c r="J78" s="602">
        <f t="shared" si="8"/>
        <v>0</v>
      </c>
      <c r="K78" s="602">
        <f t="shared" si="9"/>
        <v>0</v>
      </c>
      <c r="L78" s="494" t="str">
        <f t="shared" si="10"/>
        <v/>
      </c>
      <c r="M78" s="494" t="str">
        <f t="shared" si="11"/>
        <v/>
      </c>
      <c r="N78" s="494" t="str">
        <f t="shared" si="12"/>
        <v/>
      </c>
      <c r="O78" s="561" t="s">
        <v>93</v>
      </c>
      <c r="P78" s="561"/>
      <c r="Q78" s="561"/>
      <c r="R78" s="561"/>
      <c r="S78" s="561"/>
      <c r="T78" s="493" t="s">
        <v>1525</v>
      </c>
      <c r="U78" s="493"/>
      <c r="V78" s="493"/>
      <c r="W78" s="493"/>
      <c r="X78" s="493"/>
      <c r="Y78" s="599"/>
      <c r="Z78" s="496" t="s">
        <v>1526</v>
      </c>
      <c r="AA78" s="499"/>
      <c r="AB78" s="496"/>
      <c r="AC78" s="496"/>
      <c r="AD78" s="496"/>
    </row>
    <row r="79" spans="1:30" ht="36" customHeight="1">
      <c r="A79" s="495"/>
      <c r="B79" s="536">
        <v>62</v>
      </c>
      <c r="C79" s="493" t="s">
        <v>1502</v>
      </c>
      <c r="D79" s="571"/>
      <c r="E79" s="493"/>
      <c r="F79" s="493"/>
      <c r="G79" s="493"/>
      <c r="H79" s="531"/>
      <c r="I79" s="602">
        <f t="shared" si="7"/>
        <v>0</v>
      </c>
      <c r="J79" s="602">
        <f t="shared" si="8"/>
        <v>0</v>
      </c>
      <c r="K79" s="602">
        <f t="shared" si="9"/>
        <v>0</v>
      </c>
      <c r="L79" s="494" t="str">
        <f t="shared" si="10"/>
        <v/>
      </c>
      <c r="M79" s="494" t="str">
        <f t="shared" si="11"/>
        <v/>
      </c>
      <c r="N79" s="494" t="str">
        <f t="shared" si="12"/>
        <v/>
      </c>
      <c r="O79" s="561" t="s">
        <v>121</v>
      </c>
      <c r="P79" s="561"/>
      <c r="Q79" s="561"/>
      <c r="R79" s="561"/>
      <c r="S79" s="561"/>
      <c r="T79" s="493" t="s">
        <v>1527</v>
      </c>
      <c r="U79" s="493"/>
      <c r="V79" s="493"/>
      <c r="W79" s="493"/>
      <c r="X79" s="493"/>
      <c r="Y79" s="599"/>
      <c r="Z79" s="496" t="s">
        <v>1528</v>
      </c>
      <c r="AA79" s="499"/>
      <c r="AB79" s="496"/>
      <c r="AC79" s="496"/>
      <c r="AD79" s="496"/>
    </row>
    <row r="80" spans="1:30" ht="45" customHeight="1">
      <c r="A80" s="495"/>
      <c r="B80" s="536">
        <v>63</v>
      </c>
      <c r="C80" s="493" t="s">
        <v>1504</v>
      </c>
      <c r="D80" s="571"/>
      <c r="E80" s="493"/>
      <c r="F80" s="493"/>
      <c r="G80" s="493"/>
      <c r="H80" s="531"/>
      <c r="I80" s="602">
        <f t="shared" si="7"/>
        <v>0</v>
      </c>
      <c r="J80" s="602">
        <f t="shared" si="8"/>
        <v>0</v>
      </c>
      <c r="K80" s="602">
        <f t="shared" si="9"/>
        <v>0</v>
      </c>
      <c r="L80" s="494" t="str">
        <f t="shared" si="10"/>
        <v/>
      </c>
      <c r="M80" s="494" t="str">
        <f t="shared" si="11"/>
        <v/>
      </c>
      <c r="N80" s="494" t="str">
        <f t="shared" si="12"/>
        <v/>
      </c>
      <c r="O80" s="561" t="s">
        <v>164</v>
      </c>
      <c r="P80" s="561"/>
      <c r="Q80" s="561"/>
      <c r="R80" s="561"/>
      <c r="S80" s="561"/>
      <c r="T80" s="493" t="s">
        <v>1529</v>
      </c>
      <c r="U80" s="493"/>
      <c r="V80" s="493"/>
      <c r="W80" s="493"/>
      <c r="X80" s="493"/>
      <c r="Y80" s="599"/>
      <c r="Z80" s="496" t="s">
        <v>1530</v>
      </c>
      <c r="AA80" s="499"/>
      <c r="AB80" s="496"/>
      <c r="AC80" s="496"/>
      <c r="AD80" s="496"/>
    </row>
    <row r="81" spans="1:30" ht="36" customHeight="1">
      <c r="A81" s="495"/>
      <c r="B81" s="536">
        <v>64</v>
      </c>
      <c r="C81" s="493" t="s">
        <v>1506</v>
      </c>
      <c r="D81" s="571"/>
      <c r="E81" s="493"/>
      <c r="F81" s="493"/>
      <c r="G81" s="493"/>
      <c r="H81" s="531"/>
      <c r="I81" s="602">
        <f t="shared" si="7"/>
        <v>0</v>
      </c>
      <c r="J81" s="602">
        <f t="shared" si="8"/>
        <v>0</v>
      </c>
      <c r="K81" s="602">
        <f t="shared" si="9"/>
        <v>0</v>
      </c>
      <c r="L81" s="494" t="str">
        <f t="shared" si="10"/>
        <v/>
      </c>
      <c r="M81" s="494" t="str">
        <f t="shared" si="11"/>
        <v/>
      </c>
      <c r="N81" s="494" t="str">
        <f t="shared" si="12"/>
        <v/>
      </c>
      <c r="O81" s="561" t="s">
        <v>1393</v>
      </c>
      <c r="P81" s="561"/>
      <c r="Q81" s="561"/>
      <c r="R81" s="561"/>
      <c r="S81" s="561"/>
      <c r="T81" s="493" t="s">
        <v>1531</v>
      </c>
      <c r="U81" s="493"/>
      <c r="V81" s="493"/>
      <c r="W81" s="493"/>
      <c r="X81" s="493"/>
      <c r="Y81" s="599"/>
      <c r="Z81" s="496" t="s">
        <v>1532</v>
      </c>
      <c r="AA81" s="499"/>
      <c r="AB81" s="496"/>
      <c r="AC81" s="496"/>
      <c r="AD81" s="496"/>
    </row>
    <row r="82" spans="1:30" ht="90" customHeight="1">
      <c r="A82" s="495"/>
      <c r="B82" s="536">
        <v>65</v>
      </c>
      <c r="C82" s="493" t="s">
        <v>1515</v>
      </c>
      <c r="D82" s="571"/>
      <c r="E82" s="493"/>
      <c r="F82" s="493"/>
      <c r="G82" s="493"/>
      <c r="H82" s="531"/>
      <c r="I82" s="602">
        <f t="shared" ref="I82:I101" si="13">INDEX(TEMPLATE_NUMBER_POINT_FHD,B82,MATCH(TEMPLATE_SPHERE,TEMPLATE_SPHERE_LIST_FOR_NOTE,0))</f>
        <v>0</v>
      </c>
      <c r="J82" s="602">
        <f t="shared" ref="J82:J101" si="14">INDEX(TEMPLATE_DATA_POINT_FHD,B82,MATCH(TEMPLATE_SPHERE,TEMPLATE_SPHERE_LIST_FOR_NOTE,0))</f>
        <v>0</v>
      </c>
      <c r="K82" s="602">
        <f t="shared" ref="K82:K101" si="15">INDEX(TEMPLATE_NOTE_POINT_FHD,B82,MATCH(TEMPLATE_SPHERE,TEMPLATE_SPHERE_LIST_FOR_NOTE,0))</f>
        <v>0</v>
      </c>
      <c r="L82" s="494" t="str">
        <f t="shared" ref="L82:L101" si="16">IF(I82=0,"",I82)</f>
        <v/>
      </c>
      <c r="M82" s="494" t="str">
        <f t="shared" ref="M82:M101" si="17">IF(J82=0,"",J82)</f>
        <v/>
      </c>
      <c r="N82" s="494" t="str">
        <f t="shared" ref="N82:N101" si="18">IF(K82=0,"",K82)</f>
        <v/>
      </c>
      <c r="O82" s="561" t="s">
        <v>165</v>
      </c>
      <c r="P82" s="561"/>
      <c r="Q82" s="561"/>
      <c r="R82" s="561"/>
      <c r="S82" s="561"/>
      <c r="T82" s="493" t="s">
        <v>1533</v>
      </c>
      <c r="U82" s="493"/>
      <c r="V82" s="493"/>
      <c r="W82" s="493"/>
      <c r="X82" s="493"/>
      <c r="Y82" s="599"/>
      <c r="Z82" s="496" t="s">
        <v>1534</v>
      </c>
      <c r="AA82" s="499"/>
      <c r="AB82" s="496"/>
      <c r="AC82" s="496"/>
      <c r="AD82" s="496"/>
    </row>
    <row r="83" spans="1:30" ht="9" customHeight="1">
      <c r="A83" s="495"/>
      <c r="B83" s="536">
        <v>66</v>
      </c>
      <c r="C83" s="493"/>
      <c r="D83" s="571"/>
      <c r="E83" s="493"/>
      <c r="F83" s="493"/>
      <c r="G83" s="493"/>
      <c r="H83" s="531"/>
      <c r="I83" s="602">
        <f t="shared" si="13"/>
        <v>0</v>
      </c>
      <c r="J83" s="602">
        <f t="shared" si="14"/>
        <v>0</v>
      </c>
      <c r="K83" s="602">
        <f t="shared" si="15"/>
        <v>0</v>
      </c>
      <c r="L83" s="494" t="str">
        <f t="shared" si="16"/>
        <v/>
      </c>
      <c r="M83" s="494" t="str">
        <f t="shared" si="17"/>
        <v/>
      </c>
      <c r="N83" s="494" t="str">
        <f t="shared" si="18"/>
        <v/>
      </c>
      <c r="O83" s="561" t="s">
        <v>1405</v>
      </c>
      <c r="P83" s="561"/>
      <c r="Q83" s="561"/>
      <c r="R83" s="561"/>
      <c r="S83" s="561"/>
      <c r="T83" s="493" t="s">
        <v>1535</v>
      </c>
      <c r="U83" s="493"/>
      <c r="V83" s="493"/>
      <c r="W83" s="493"/>
      <c r="X83" s="493"/>
      <c r="Y83" s="599"/>
      <c r="Z83" s="496"/>
      <c r="AA83" s="499"/>
      <c r="AB83" s="496"/>
      <c r="AC83" s="496"/>
      <c r="AD83" s="496"/>
    </row>
    <row r="84" spans="1:30" ht="54" customHeight="1">
      <c r="A84" s="495"/>
      <c r="B84" s="536">
        <v>67</v>
      </c>
      <c r="C84" s="493"/>
      <c r="D84" s="571"/>
      <c r="E84" s="493"/>
      <c r="F84" s="493"/>
      <c r="G84" s="493"/>
      <c r="H84" s="531"/>
      <c r="I84" s="602">
        <f t="shared" si="13"/>
        <v>0</v>
      </c>
      <c r="J84" s="602">
        <f t="shared" si="14"/>
        <v>0</v>
      </c>
      <c r="K84" s="602">
        <f t="shared" si="15"/>
        <v>0</v>
      </c>
      <c r="L84" s="494" t="str">
        <f t="shared" si="16"/>
        <v/>
      </c>
      <c r="M84" s="494" t="str">
        <f t="shared" si="17"/>
        <v/>
      </c>
      <c r="N84" s="494" t="str">
        <f t="shared" si="18"/>
        <v/>
      </c>
      <c r="O84" s="561" t="s">
        <v>1536</v>
      </c>
      <c r="P84" s="561"/>
      <c r="Q84" s="561"/>
      <c r="R84" s="561"/>
      <c r="S84" s="561"/>
      <c r="T84" s="493" t="s">
        <v>1537</v>
      </c>
      <c r="U84" s="493"/>
      <c r="V84" s="493"/>
      <c r="W84" s="493"/>
      <c r="X84" s="493"/>
      <c r="Y84" s="599"/>
      <c r="Z84" s="496"/>
      <c r="AA84" s="499"/>
      <c r="AB84" s="496"/>
      <c r="AC84" s="496"/>
      <c r="AD84" s="496"/>
    </row>
    <row r="85" spans="1:30" ht="9" customHeight="1">
      <c r="A85" s="495"/>
      <c r="B85" s="536">
        <v>68</v>
      </c>
      <c r="C85" s="493"/>
      <c r="D85" s="571"/>
      <c r="E85" s="493"/>
      <c r="F85" s="493"/>
      <c r="G85" s="493"/>
      <c r="H85" s="531"/>
      <c r="I85" s="602">
        <f t="shared" si="13"/>
        <v>0</v>
      </c>
      <c r="J85" s="602">
        <f t="shared" si="14"/>
        <v>0</v>
      </c>
      <c r="K85" s="602">
        <f t="shared" si="15"/>
        <v>0</v>
      </c>
      <c r="L85" s="494" t="str">
        <f t="shared" si="16"/>
        <v/>
      </c>
      <c r="M85" s="494" t="str">
        <f t="shared" si="17"/>
        <v/>
      </c>
      <c r="N85" s="494" t="str">
        <f t="shared" si="18"/>
        <v/>
      </c>
      <c r="O85" s="561" t="s">
        <v>1409</v>
      </c>
      <c r="P85" s="561"/>
      <c r="Q85" s="561"/>
      <c r="R85" s="561"/>
      <c r="S85" s="561"/>
      <c r="T85" s="493" t="s">
        <v>1538</v>
      </c>
      <c r="U85" s="493"/>
      <c r="V85" s="493"/>
      <c r="W85" s="493"/>
      <c r="X85" s="493"/>
      <c r="Y85" s="599"/>
      <c r="Z85" s="496"/>
      <c r="AA85" s="499"/>
      <c r="AB85" s="496"/>
      <c r="AC85" s="496"/>
      <c r="AD85" s="496"/>
    </row>
    <row r="86" spans="1:30" ht="27" customHeight="1">
      <c r="A86" s="495"/>
      <c r="B86" s="536">
        <v>69</v>
      </c>
      <c r="C86" s="493"/>
      <c r="D86" s="571"/>
      <c r="E86" s="493"/>
      <c r="F86" s="493"/>
      <c r="G86" s="493"/>
      <c r="H86" s="531"/>
      <c r="I86" s="602">
        <f t="shared" si="13"/>
        <v>0</v>
      </c>
      <c r="J86" s="602">
        <f t="shared" si="14"/>
        <v>0</v>
      </c>
      <c r="K86" s="602">
        <f t="shared" si="15"/>
        <v>0</v>
      </c>
      <c r="L86" s="494" t="str">
        <f t="shared" si="16"/>
        <v/>
      </c>
      <c r="M86" s="494" t="str">
        <f t="shared" si="17"/>
        <v/>
      </c>
      <c r="N86" s="494" t="str">
        <f t="shared" si="18"/>
        <v/>
      </c>
      <c r="O86" s="561" t="s">
        <v>1539</v>
      </c>
      <c r="P86" s="561"/>
      <c r="Q86" s="561"/>
      <c r="R86" s="561"/>
      <c r="S86" s="561"/>
      <c r="T86" s="493" t="s">
        <v>1540</v>
      </c>
      <c r="U86" s="493"/>
      <c r="V86" s="493"/>
      <c r="W86" s="493"/>
      <c r="X86" s="493"/>
      <c r="Y86" s="599"/>
      <c r="Z86" s="496"/>
      <c r="AA86" s="499"/>
      <c r="AB86" s="496"/>
      <c r="AC86" s="496"/>
      <c r="AD86" s="496"/>
    </row>
    <row r="87" spans="1:30" ht="36" customHeight="1">
      <c r="A87" s="495"/>
      <c r="B87" s="536">
        <v>70</v>
      </c>
      <c r="C87" s="493" t="s">
        <v>1541</v>
      </c>
      <c r="D87" s="571"/>
      <c r="E87" s="493"/>
      <c r="F87" s="493"/>
      <c r="G87" s="493"/>
      <c r="H87" s="531"/>
      <c r="I87" s="602">
        <f t="shared" si="13"/>
        <v>0</v>
      </c>
      <c r="J87" s="602">
        <f t="shared" si="14"/>
        <v>0</v>
      </c>
      <c r="K87" s="602">
        <f t="shared" si="15"/>
        <v>0</v>
      </c>
      <c r="L87" s="494" t="str">
        <f t="shared" si="16"/>
        <v/>
      </c>
      <c r="M87" s="494" t="str">
        <f t="shared" si="17"/>
        <v/>
      </c>
      <c r="N87" s="494" t="str">
        <f t="shared" si="18"/>
        <v/>
      </c>
      <c r="O87" s="561" t="s">
        <v>166</v>
      </c>
      <c r="P87" s="561"/>
      <c r="Q87" s="561"/>
      <c r="R87" s="561"/>
      <c r="S87" s="561"/>
      <c r="T87" s="493" t="s">
        <v>1542</v>
      </c>
      <c r="U87" s="493"/>
      <c r="V87" s="493"/>
      <c r="W87" s="493"/>
      <c r="X87" s="493"/>
      <c r="Y87" s="599"/>
      <c r="Z87" s="496"/>
      <c r="AA87" s="499"/>
      <c r="AB87" s="496"/>
      <c r="AC87" s="496"/>
      <c r="AD87" s="496"/>
    </row>
    <row r="88" spans="1:30" ht="18" customHeight="1">
      <c r="A88" s="495"/>
      <c r="B88" s="536">
        <v>71</v>
      </c>
      <c r="C88" s="493" t="s">
        <v>1543</v>
      </c>
      <c r="D88" s="571"/>
      <c r="E88" s="493"/>
      <c r="F88" s="493"/>
      <c r="G88" s="493"/>
      <c r="H88" s="531"/>
      <c r="I88" s="602">
        <f t="shared" si="13"/>
        <v>0</v>
      </c>
      <c r="J88" s="602">
        <f t="shared" si="14"/>
        <v>0</v>
      </c>
      <c r="K88" s="602">
        <f t="shared" si="15"/>
        <v>0</v>
      </c>
      <c r="L88" s="494" t="str">
        <f t="shared" si="16"/>
        <v/>
      </c>
      <c r="M88" s="494" t="str">
        <f t="shared" si="17"/>
        <v/>
      </c>
      <c r="N88" s="494" t="str">
        <f t="shared" si="18"/>
        <v/>
      </c>
      <c r="O88" s="561" t="s">
        <v>167</v>
      </c>
      <c r="P88" s="561"/>
      <c r="Q88" s="561"/>
      <c r="R88" s="561"/>
      <c r="S88" s="561"/>
      <c r="T88" s="493" t="s">
        <v>1544</v>
      </c>
      <c r="U88" s="493"/>
      <c r="V88" s="493"/>
      <c r="W88" s="493"/>
      <c r="X88" s="493"/>
      <c r="Y88" s="599"/>
      <c r="Z88" s="496"/>
      <c r="AA88" s="499"/>
      <c r="AB88" s="496"/>
      <c r="AC88" s="496"/>
      <c r="AD88" s="496"/>
    </row>
    <row r="89" spans="1:30" ht="18" customHeight="1">
      <c r="A89" s="495"/>
      <c r="B89" s="536">
        <v>72</v>
      </c>
      <c r="C89" s="493" t="s">
        <v>1545</v>
      </c>
      <c r="D89" s="571" t="s">
        <v>1541</v>
      </c>
      <c r="E89" s="493" t="s">
        <v>1541</v>
      </c>
      <c r="F89" s="493" t="s">
        <v>1506</v>
      </c>
      <c r="G89" s="493"/>
      <c r="H89" s="531"/>
      <c r="I89" s="602" t="str">
        <f t="shared" si="13"/>
        <v>12</v>
      </c>
      <c r="J89" s="602" t="str">
        <f t="shared" si="14"/>
        <v>Среднесписочная численность основного производственного персонала</v>
      </c>
      <c r="K89" s="602">
        <f t="shared" si="15"/>
        <v>0</v>
      </c>
      <c r="L89" s="494" t="str">
        <f t="shared" si="16"/>
        <v>12</v>
      </c>
      <c r="M89" s="494" t="str">
        <f t="shared" si="17"/>
        <v>Среднесписочная численность основного производственного персонала</v>
      </c>
      <c r="N89" s="494" t="str">
        <f t="shared" si="18"/>
        <v/>
      </c>
      <c r="O89" s="561" t="s">
        <v>168</v>
      </c>
      <c r="P89" s="561" t="s">
        <v>167</v>
      </c>
      <c r="Q89" s="561" t="s">
        <v>167</v>
      </c>
      <c r="R89" s="561" t="s">
        <v>165</v>
      </c>
      <c r="S89" s="561"/>
      <c r="T89" s="493" t="s">
        <v>1546</v>
      </c>
      <c r="U89" s="493" t="s">
        <v>1546</v>
      </c>
      <c r="V89" s="493" t="s">
        <v>1546</v>
      </c>
      <c r="W89" s="493" t="s">
        <v>1546</v>
      </c>
      <c r="X89" s="493"/>
      <c r="Y89" s="599"/>
      <c r="Z89" s="496"/>
      <c r="AA89" s="499"/>
      <c r="AB89" s="496"/>
      <c r="AC89" s="496"/>
      <c r="AD89" s="496"/>
    </row>
    <row r="90" spans="1:30" ht="27" customHeight="1">
      <c r="A90" s="495"/>
      <c r="B90" s="536">
        <v>73</v>
      </c>
      <c r="C90" s="493" t="s">
        <v>1547</v>
      </c>
      <c r="D90" s="571"/>
      <c r="E90" s="493"/>
      <c r="F90" s="493"/>
      <c r="G90" s="493"/>
      <c r="H90" s="531"/>
      <c r="I90" s="602">
        <f t="shared" si="13"/>
        <v>0</v>
      </c>
      <c r="J90" s="602">
        <f t="shared" si="14"/>
        <v>0</v>
      </c>
      <c r="K90" s="602">
        <f t="shared" si="15"/>
        <v>0</v>
      </c>
      <c r="L90" s="494" t="str">
        <f t="shared" si="16"/>
        <v/>
      </c>
      <c r="M90" s="494" t="str">
        <f t="shared" si="17"/>
        <v/>
      </c>
      <c r="N90" s="494" t="str">
        <f t="shared" si="18"/>
        <v/>
      </c>
      <c r="O90" s="561" t="s">
        <v>169</v>
      </c>
      <c r="P90" s="561"/>
      <c r="Q90" s="561"/>
      <c r="R90" s="561"/>
      <c r="S90" s="561"/>
      <c r="T90" s="493" t="s">
        <v>1548</v>
      </c>
      <c r="U90" s="493"/>
      <c r="V90" s="493"/>
      <c r="W90" s="493"/>
      <c r="X90" s="493"/>
      <c r="Y90" s="599"/>
      <c r="Z90" s="496"/>
      <c r="AA90" s="499"/>
      <c r="AB90" s="496"/>
      <c r="AC90" s="496"/>
      <c r="AD90" s="496"/>
    </row>
    <row r="91" spans="1:30" ht="18" customHeight="1">
      <c r="A91" s="495"/>
      <c r="B91" s="536">
        <v>74</v>
      </c>
      <c r="C91" s="493"/>
      <c r="D91" s="571" t="s">
        <v>1543</v>
      </c>
      <c r="E91" s="493" t="s">
        <v>1543</v>
      </c>
      <c r="F91" s="493"/>
      <c r="G91" s="493"/>
      <c r="H91" s="531"/>
      <c r="I91" s="602" t="str">
        <f t="shared" si="13"/>
        <v>13</v>
      </c>
      <c r="J91" s="602" t="str">
        <f t="shared" si="14"/>
        <v>Удельный расход электрической энергии на подачу воды в сеть</v>
      </c>
      <c r="K91" s="602">
        <f t="shared" si="15"/>
        <v>0</v>
      </c>
      <c r="L91" s="494" t="str">
        <f t="shared" si="16"/>
        <v>13</v>
      </c>
      <c r="M91" s="494" t="str">
        <f t="shared" si="17"/>
        <v>Удельный расход электрической энергии на подачу воды в сеть</v>
      </c>
      <c r="N91" s="494" t="str">
        <f t="shared" si="18"/>
        <v/>
      </c>
      <c r="O91" s="561"/>
      <c r="P91" s="561" t="s">
        <v>168</v>
      </c>
      <c r="Q91" s="561" t="s">
        <v>168</v>
      </c>
      <c r="R91" s="561"/>
      <c r="S91" s="561"/>
      <c r="T91" s="493"/>
      <c r="U91" s="493" t="s">
        <v>1549</v>
      </c>
      <c r="V91" s="493" t="s">
        <v>1549</v>
      </c>
      <c r="W91" s="493"/>
      <c r="X91" s="493"/>
      <c r="Y91" s="599"/>
      <c r="Z91" s="496"/>
      <c r="AA91" s="499"/>
      <c r="AB91" s="496"/>
      <c r="AC91" s="496"/>
      <c r="AD91" s="496"/>
    </row>
    <row r="92" spans="1:30" ht="27" customHeight="1">
      <c r="A92" s="495"/>
      <c r="B92" s="536">
        <v>75</v>
      </c>
      <c r="C92" s="493"/>
      <c r="D92" s="571" t="s">
        <v>1545</v>
      </c>
      <c r="E92" s="493"/>
      <c r="F92" s="493"/>
      <c r="G92" s="493"/>
      <c r="H92" s="531"/>
      <c r="I92" s="602" t="str">
        <f t="shared" si="13"/>
        <v>14</v>
      </c>
      <c r="J92" s="602" t="str">
        <f t="shared" si="14"/>
        <v>Расход воды на собственные нужды, в том числе:</v>
      </c>
      <c r="K92" s="602" t="str">
        <f t="shared" si="15"/>
        <v>Указывается доля общего расхода воды на собственные нужны от объема отпуска воды потребителям.</v>
      </c>
      <c r="L92" s="494" t="str">
        <f t="shared" si="16"/>
        <v>14</v>
      </c>
      <c r="M92" s="494" t="str">
        <f t="shared" si="17"/>
        <v>Расход воды на собственные нужды, в том числе:</v>
      </c>
      <c r="N92" s="494" t="str">
        <f t="shared" si="18"/>
        <v>Указывается доля общего расхода воды на собственные нужны от объема отпуска воды потребителям.</v>
      </c>
      <c r="O92" s="561"/>
      <c r="P92" s="561" t="s">
        <v>169</v>
      </c>
      <c r="Q92" s="561"/>
      <c r="R92" s="561"/>
      <c r="S92" s="561"/>
      <c r="T92" s="493"/>
      <c r="U92" s="493" t="s">
        <v>1550</v>
      </c>
      <c r="V92" s="493"/>
      <c r="W92" s="493"/>
      <c r="X92" s="493"/>
      <c r="Y92" s="599"/>
      <c r="Z92" s="496"/>
      <c r="AA92" s="499" t="s">
        <v>1551</v>
      </c>
      <c r="AB92" s="496"/>
      <c r="AC92" s="496"/>
      <c r="AD92" s="496"/>
    </row>
    <row r="93" spans="1:30" ht="27" customHeight="1">
      <c r="A93" s="495"/>
      <c r="B93" s="536">
        <v>76</v>
      </c>
      <c r="C93" s="493"/>
      <c r="D93" s="571"/>
      <c r="E93" s="493"/>
      <c r="F93" s="493"/>
      <c r="G93" s="493"/>
      <c r="H93" s="531"/>
      <c r="I93" s="602" t="str">
        <f t="shared" si="13"/>
        <v>14.1</v>
      </c>
      <c r="J93" s="602" t="str">
        <f t="shared" si="14"/>
        <v>Расход воды на хозяйственно-бытовые нужды</v>
      </c>
      <c r="K93" s="602" t="str">
        <f t="shared" si="15"/>
        <v>Указывается доля расхода воды на хозяйственно-бытовые нужны от объема отпуска воды потребителям.</v>
      </c>
      <c r="L93" s="494" t="str">
        <f t="shared" si="16"/>
        <v>14.1</v>
      </c>
      <c r="M93" s="494" t="str">
        <f t="shared" si="17"/>
        <v>Расход воды на хозяйственно-бытовые нужды</v>
      </c>
      <c r="N93" s="494" t="str">
        <f t="shared" si="18"/>
        <v>Указывается доля расхода воды на хозяйственно-бытовые нужны от объема отпуска воды потребителям.</v>
      </c>
      <c r="O93" s="561"/>
      <c r="P93" s="561" t="s">
        <v>1439</v>
      </c>
      <c r="Q93" s="561"/>
      <c r="R93" s="561"/>
      <c r="S93" s="561"/>
      <c r="T93" s="493"/>
      <c r="U93" s="493" t="s">
        <v>1552</v>
      </c>
      <c r="V93" s="493"/>
      <c r="W93" s="493"/>
      <c r="X93" s="493"/>
      <c r="Y93" s="599"/>
      <c r="Z93" s="496"/>
      <c r="AA93" s="499" t="s">
        <v>1553</v>
      </c>
      <c r="AB93" s="496"/>
      <c r="AC93" s="496"/>
      <c r="AD93" s="496"/>
    </row>
    <row r="94" spans="1:30" ht="45" customHeight="1">
      <c r="A94" s="495"/>
      <c r="B94" s="536">
        <v>77</v>
      </c>
      <c r="C94" s="493"/>
      <c r="D94" s="571" t="s">
        <v>1547</v>
      </c>
      <c r="E94" s="493"/>
      <c r="F94" s="493"/>
      <c r="G94" s="493"/>
      <c r="H94" s="531"/>
      <c r="I94" s="602" t="str">
        <f t="shared" si="13"/>
        <v>15</v>
      </c>
      <c r="J94" s="602" t="str">
        <f t="shared" si="14"/>
        <v>Показатель использования производственных объектов (по объему перекачки), в том числе:</v>
      </c>
      <c r="K94" s="602"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94" t="str">
        <f t="shared" si="16"/>
        <v>15</v>
      </c>
      <c r="M94" s="494" t="str">
        <f t="shared" si="17"/>
        <v>Показатель использования производственных объектов (по объему перекачки), в том числе:</v>
      </c>
      <c r="N94" s="494"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61"/>
      <c r="P94" s="561" t="s">
        <v>867</v>
      </c>
      <c r="Q94" s="561"/>
      <c r="R94" s="561"/>
      <c r="S94" s="561"/>
      <c r="T94" s="493"/>
      <c r="U94" s="493" t="s">
        <v>1554</v>
      </c>
      <c r="V94" s="493"/>
      <c r="W94" s="493"/>
      <c r="X94" s="493"/>
      <c r="Y94" s="599"/>
      <c r="Z94" s="496"/>
      <c r="AA94" s="499" t="s">
        <v>1555</v>
      </c>
      <c r="AB94" s="496"/>
      <c r="AC94" s="496"/>
      <c r="AD94" s="496"/>
    </row>
    <row r="95" spans="1:30" ht="99" customHeight="1">
      <c r="A95" s="495"/>
      <c r="B95" s="536">
        <v>78</v>
      </c>
      <c r="C95" s="493" t="s">
        <v>1556</v>
      </c>
      <c r="D95" s="571"/>
      <c r="E95" s="493"/>
      <c r="F95" s="493"/>
      <c r="G95" s="493"/>
      <c r="H95" s="531"/>
      <c r="I95" s="602">
        <f t="shared" si="13"/>
        <v>0</v>
      </c>
      <c r="J95" s="602">
        <f t="shared" si="14"/>
        <v>0</v>
      </c>
      <c r="K95" s="602">
        <f t="shared" si="15"/>
        <v>0</v>
      </c>
      <c r="L95" s="494" t="str">
        <f t="shared" si="16"/>
        <v/>
      </c>
      <c r="M95" s="494" t="str">
        <f t="shared" si="17"/>
        <v/>
      </c>
      <c r="N95" s="494" t="str">
        <f t="shared" si="18"/>
        <v/>
      </c>
      <c r="O95" s="561" t="s">
        <v>867</v>
      </c>
      <c r="P95" s="561"/>
      <c r="Q95" s="561"/>
      <c r="R95" s="561"/>
      <c r="S95" s="561"/>
      <c r="T95" s="493" t="s">
        <v>1557</v>
      </c>
      <c r="U95" s="493"/>
      <c r="V95" s="493"/>
      <c r="W95" s="493"/>
      <c r="X95" s="493"/>
      <c r="Y95" s="599"/>
      <c r="Z95" s="496"/>
      <c r="AA95" s="499"/>
      <c r="AB95" s="496"/>
      <c r="AC95" s="496"/>
      <c r="AD95" s="496"/>
    </row>
    <row r="96" spans="1:30" ht="99" customHeight="1">
      <c r="A96" s="495"/>
      <c r="B96" s="536">
        <v>79</v>
      </c>
      <c r="C96" s="493" t="s">
        <v>1558</v>
      </c>
      <c r="D96" s="571"/>
      <c r="E96" s="493"/>
      <c r="F96" s="493"/>
      <c r="G96" s="493"/>
      <c r="H96" s="531"/>
      <c r="I96" s="602">
        <f t="shared" si="13"/>
        <v>0</v>
      </c>
      <c r="J96" s="602">
        <f t="shared" si="14"/>
        <v>0</v>
      </c>
      <c r="K96" s="602">
        <f t="shared" si="15"/>
        <v>0</v>
      </c>
      <c r="L96" s="494" t="str">
        <f t="shared" si="16"/>
        <v/>
      </c>
      <c r="M96" s="494" t="str">
        <f t="shared" si="17"/>
        <v/>
      </c>
      <c r="N96" s="494" t="str">
        <f t="shared" si="18"/>
        <v/>
      </c>
      <c r="O96" s="561" t="s">
        <v>99</v>
      </c>
      <c r="P96" s="561"/>
      <c r="Q96" s="561"/>
      <c r="R96" s="561"/>
      <c r="S96" s="561"/>
      <c r="T96" s="493" t="s">
        <v>1559</v>
      </c>
      <c r="U96" s="493"/>
      <c r="V96" s="493"/>
      <c r="W96" s="493"/>
      <c r="X96" s="493"/>
      <c r="Y96" s="599"/>
      <c r="Z96" s="496" t="s">
        <v>1560</v>
      </c>
      <c r="AA96" s="499"/>
      <c r="AB96" s="496"/>
      <c r="AC96" s="496"/>
      <c r="AD96" s="496"/>
    </row>
    <row r="97" spans="1:30" ht="63" customHeight="1">
      <c r="A97" s="495"/>
      <c r="B97" s="536">
        <v>80</v>
      </c>
      <c r="C97" s="493" t="s">
        <v>1561</v>
      </c>
      <c r="D97" s="571"/>
      <c r="E97" s="493"/>
      <c r="F97" s="493"/>
      <c r="G97" s="493"/>
      <c r="H97" s="531"/>
      <c r="I97" s="602">
        <f t="shared" si="13"/>
        <v>0</v>
      </c>
      <c r="J97" s="602">
        <f t="shared" si="14"/>
        <v>0</v>
      </c>
      <c r="K97" s="602">
        <f t="shared" si="15"/>
        <v>0</v>
      </c>
      <c r="L97" s="494" t="str">
        <f t="shared" si="16"/>
        <v/>
      </c>
      <c r="M97" s="494" t="str">
        <f t="shared" si="17"/>
        <v/>
      </c>
      <c r="N97" s="494" t="str">
        <f t="shared" si="18"/>
        <v/>
      </c>
      <c r="O97" s="561" t="s">
        <v>883</v>
      </c>
      <c r="P97" s="561"/>
      <c r="Q97" s="561"/>
      <c r="R97" s="561"/>
      <c r="S97" s="561"/>
      <c r="T97" s="493" t="s">
        <v>1562</v>
      </c>
      <c r="U97" s="493"/>
      <c r="V97" s="493"/>
      <c r="W97" s="493"/>
      <c r="X97" s="493"/>
      <c r="Y97" s="599"/>
      <c r="Z97" s="496" t="s">
        <v>1563</v>
      </c>
      <c r="AA97" s="499"/>
      <c r="AB97" s="496"/>
      <c r="AC97" s="496"/>
      <c r="AD97" s="496"/>
    </row>
    <row r="98" spans="1:30" ht="63" customHeight="1">
      <c r="A98" s="495"/>
      <c r="B98" s="536">
        <v>81</v>
      </c>
      <c r="C98" s="493" t="s">
        <v>1564</v>
      </c>
      <c r="D98" s="571"/>
      <c r="E98" s="493"/>
      <c r="F98" s="493"/>
      <c r="G98" s="493"/>
      <c r="H98" s="531"/>
      <c r="I98" s="602">
        <f t="shared" si="13"/>
        <v>0</v>
      </c>
      <c r="J98" s="602">
        <f t="shared" si="14"/>
        <v>0</v>
      </c>
      <c r="K98" s="602">
        <f t="shared" si="15"/>
        <v>0</v>
      </c>
      <c r="L98" s="494" t="str">
        <f t="shared" si="16"/>
        <v/>
      </c>
      <c r="M98" s="494" t="str">
        <f t="shared" si="17"/>
        <v/>
      </c>
      <c r="N98" s="494" t="str">
        <f t="shared" si="18"/>
        <v/>
      </c>
      <c r="O98" s="561" t="s">
        <v>897</v>
      </c>
      <c r="P98" s="561"/>
      <c r="Q98" s="561"/>
      <c r="R98" s="561"/>
      <c r="S98" s="561"/>
      <c r="T98" s="493" t="s">
        <v>1565</v>
      </c>
      <c r="U98" s="493"/>
      <c r="V98" s="493"/>
      <c r="W98" s="493"/>
      <c r="X98" s="493"/>
      <c r="Y98" s="599"/>
      <c r="Z98" s="496" t="s">
        <v>1563</v>
      </c>
      <c r="AA98" s="499"/>
      <c r="AB98" s="496"/>
      <c r="AC98" s="496"/>
      <c r="AD98" s="496"/>
    </row>
    <row r="99" spans="1:30" ht="90" customHeight="1">
      <c r="A99" s="495"/>
      <c r="B99" s="536">
        <v>82</v>
      </c>
      <c r="C99" s="493" t="s">
        <v>1566</v>
      </c>
      <c r="D99" s="571"/>
      <c r="E99" s="493"/>
      <c r="F99" s="493"/>
      <c r="G99" s="493"/>
      <c r="H99" s="531"/>
      <c r="I99" s="602">
        <f t="shared" si="13"/>
        <v>0</v>
      </c>
      <c r="J99" s="602">
        <f t="shared" si="14"/>
        <v>0</v>
      </c>
      <c r="K99" s="602">
        <f t="shared" si="15"/>
        <v>0</v>
      </c>
      <c r="L99" s="494" t="str">
        <f t="shared" si="16"/>
        <v/>
      </c>
      <c r="M99" s="494" t="str">
        <f t="shared" si="17"/>
        <v/>
      </c>
      <c r="N99" s="494" t="str">
        <f t="shared" si="18"/>
        <v/>
      </c>
      <c r="O99" s="561" t="s">
        <v>909</v>
      </c>
      <c r="P99" s="561"/>
      <c r="Q99" s="561"/>
      <c r="R99" s="561"/>
      <c r="S99" s="561"/>
      <c r="T99" s="493" t="s">
        <v>1567</v>
      </c>
      <c r="U99" s="493"/>
      <c r="V99" s="493"/>
      <c r="W99" s="493"/>
      <c r="X99" s="493"/>
      <c r="Y99" s="599"/>
      <c r="Z99" s="496" t="s">
        <v>1568</v>
      </c>
      <c r="AA99" s="499"/>
      <c r="AB99" s="496"/>
      <c r="AC99" s="496"/>
      <c r="AD99" s="496"/>
    </row>
    <row r="100" spans="1:30" ht="27" customHeight="1">
      <c r="A100" s="495"/>
      <c r="B100" s="536">
        <v>83</v>
      </c>
      <c r="C100" s="493"/>
      <c r="D100" s="571"/>
      <c r="E100" s="493"/>
      <c r="F100" s="493"/>
      <c r="G100" s="493"/>
      <c r="H100" s="531"/>
      <c r="I100" s="602">
        <f t="shared" si="13"/>
        <v>0</v>
      </c>
      <c r="J100" s="602">
        <f t="shared" si="14"/>
        <v>0</v>
      </c>
      <c r="K100" s="602">
        <f t="shared" si="15"/>
        <v>0</v>
      </c>
      <c r="L100" s="494" t="str">
        <f t="shared" si="16"/>
        <v/>
      </c>
      <c r="M100" s="494" t="str">
        <f t="shared" si="17"/>
        <v/>
      </c>
      <c r="N100" s="494" t="str">
        <f t="shared" si="18"/>
        <v/>
      </c>
      <c r="O100" s="561" t="s">
        <v>1569</v>
      </c>
      <c r="P100" s="561"/>
      <c r="Q100" s="561"/>
      <c r="R100" s="561"/>
      <c r="S100" s="561"/>
      <c r="T100" s="493" t="s">
        <v>1570</v>
      </c>
      <c r="U100" s="493"/>
      <c r="V100" s="493"/>
      <c r="W100" s="493"/>
      <c r="X100" s="493"/>
      <c r="Y100" s="599"/>
      <c r="Z100" s="496" t="s">
        <v>1568</v>
      </c>
      <c r="AA100" s="499"/>
      <c r="AB100" s="496"/>
      <c r="AC100" s="496"/>
      <c r="AD100" s="496"/>
    </row>
    <row r="101" spans="1:30" ht="27" customHeight="1">
      <c r="A101" s="495"/>
      <c r="B101" s="536">
        <v>84</v>
      </c>
      <c r="C101" s="493"/>
      <c r="D101" s="571"/>
      <c r="E101" s="493"/>
      <c r="F101" s="493"/>
      <c r="G101" s="493"/>
      <c r="H101" s="531"/>
      <c r="I101" s="602">
        <f t="shared" si="13"/>
        <v>0</v>
      </c>
      <c r="J101" s="602">
        <f t="shared" si="14"/>
        <v>0</v>
      </c>
      <c r="K101" s="602">
        <f t="shared" si="15"/>
        <v>0</v>
      </c>
      <c r="L101" s="494" t="str">
        <f t="shared" si="16"/>
        <v/>
      </c>
      <c r="M101" s="494" t="str">
        <f t="shared" si="17"/>
        <v/>
      </c>
      <c r="N101" s="494" t="str">
        <f t="shared" si="18"/>
        <v/>
      </c>
      <c r="O101" s="561" t="s">
        <v>1571</v>
      </c>
      <c r="P101" s="561"/>
      <c r="Q101" s="561"/>
      <c r="R101" s="561"/>
      <c r="S101" s="561"/>
      <c r="T101" s="493" t="s">
        <v>1572</v>
      </c>
      <c r="U101" s="493"/>
      <c r="V101" s="493"/>
      <c r="W101" s="493"/>
      <c r="X101" s="493"/>
      <c r="Y101" s="599"/>
      <c r="Z101" s="496" t="s">
        <v>1568</v>
      </c>
      <c r="AA101" s="499"/>
      <c r="AB101" s="496"/>
      <c r="AC101" s="496"/>
      <c r="AD101" s="496"/>
    </row>
    <row r="102" spans="1:30" ht="9" customHeight="1">
      <c r="A102" s="495"/>
      <c r="B102" s="495"/>
      <c r="C102" s="493"/>
      <c r="D102" s="493"/>
      <c r="E102" s="493"/>
      <c r="F102" s="493"/>
      <c r="G102" s="493"/>
      <c r="H102" s="531"/>
      <c r="I102" s="531"/>
      <c r="J102" s="531"/>
      <c r="K102" s="531"/>
      <c r="L102" s="531"/>
      <c r="M102" s="493"/>
      <c r="N102" s="530"/>
      <c r="O102" s="561"/>
      <c r="P102" s="561"/>
      <c r="Q102" s="561"/>
      <c r="R102" s="561"/>
      <c r="S102" s="493"/>
      <c r="T102" s="493"/>
      <c r="U102" s="493"/>
      <c r="V102" s="493"/>
      <c r="W102" s="493"/>
      <c r="X102" s="493"/>
      <c r="Y102" s="599"/>
      <c r="Z102" s="496"/>
      <c r="AA102" s="499"/>
      <c r="AB102" s="496"/>
      <c r="AC102" s="496"/>
      <c r="AD102" s="496"/>
    </row>
    <row r="103" spans="1:30" ht="9" customHeight="1">
      <c r="A103" s="495"/>
      <c r="B103" s="495"/>
      <c r="C103" s="493"/>
      <c r="D103" s="493"/>
      <c r="E103" s="493"/>
      <c r="F103" s="493"/>
      <c r="G103" s="493"/>
      <c r="H103" s="531"/>
      <c r="I103" s="531"/>
      <c r="J103" s="531"/>
      <c r="K103" s="531"/>
      <c r="L103" s="531"/>
      <c r="M103" s="493"/>
      <c r="N103" s="530"/>
      <c r="O103" s="561"/>
      <c r="P103" s="561"/>
      <c r="Q103" s="561"/>
      <c r="R103" s="561"/>
      <c r="S103" s="493"/>
      <c r="T103" s="493"/>
      <c r="U103" s="493"/>
      <c r="V103" s="493"/>
      <c r="W103" s="493"/>
      <c r="X103" s="493"/>
      <c r="Y103" s="599"/>
      <c r="Z103" s="496"/>
      <c r="AA103" s="499"/>
      <c r="AB103" s="496"/>
      <c r="AC103" s="496"/>
      <c r="AD103" s="496"/>
    </row>
    <row r="104" spans="1:30" ht="9" customHeight="1">
      <c r="A104" s="495"/>
      <c r="B104" s="495"/>
      <c r="C104" s="493"/>
      <c r="D104" s="493"/>
      <c r="E104" s="493"/>
      <c r="F104" s="493"/>
      <c r="G104" s="493"/>
      <c r="H104" s="531"/>
      <c r="I104" s="531"/>
      <c r="J104" s="531"/>
      <c r="K104" s="531"/>
      <c r="L104" s="531"/>
      <c r="M104" s="493"/>
      <c r="N104" s="530"/>
      <c r="O104" s="561"/>
      <c r="P104" s="561"/>
      <c r="Q104" s="561"/>
      <c r="R104" s="561"/>
      <c r="S104" s="493"/>
      <c r="T104" s="493"/>
      <c r="U104" s="493"/>
      <c r="V104" s="493"/>
      <c r="W104" s="493"/>
      <c r="X104" s="493"/>
      <c r="Y104" s="599"/>
      <c r="Z104" s="496"/>
      <c r="AA104" s="499"/>
      <c r="AB104" s="496"/>
      <c r="AC104" s="496"/>
      <c r="AD104" s="496"/>
    </row>
    <row r="105" spans="1:30" ht="9" customHeight="1">
      <c r="A105" s="495"/>
      <c r="B105" s="495"/>
      <c r="C105" s="493"/>
      <c r="D105" s="493"/>
      <c r="E105" s="493"/>
      <c r="F105" s="493"/>
      <c r="G105" s="493"/>
      <c r="H105" s="531"/>
      <c r="I105" s="531"/>
      <c r="J105" s="531"/>
      <c r="K105" s="531"/>
      <c r="L105" s="531"/>
      <c r="M105" s="493"/>
      <c r="N105" s="530"/>
      <c r="O105" s="561"/>
      <c r="P105" s="561"/>
      <c r="Q105" s="561"/>
      <c r="R105" s="561"/>
      <c r="S105" s="493"/>
      <c r="T105" s="493"/>
      <c r="U105" s="493"/>
      <c r="V105" s="493"/>
      <c r="W105" s="493"/>
      <c r="X105" s="493"/>
      <c r="Y105" s="599"/>
      <c r="Z105" s="496"/>
      <c r="AA105" s="499"/>
      <c r="AB105" s="496"/>
      <c r="AC105" s="496"/>
      <c r="AD105" s="496"/>
    </row>
    <row r="106" spans="1:30" ht="9" customHeight="1">
      <c r="A106" s="495"/>
      <c r="B106" s="495"/>
      <c r="C106" s="493"/>
      <c r="D106" s="493"/>
      <c r="E106" s="493"/>
      <c r="F106" s="493"/>
      <c r="G106" s="493"/>
      <c r="H106" s="531"/>
      <c r="I106" s="531"/>
      <c r="J106" s="531"/>
      <c r="K106" s="531"/>
      <c r="L106" s="531"/>
      <c r="M106" s="493"/>
      <c r="N106" s="530"/>
      <c r="O106" s="561"/>
      <c r="P106" s="561"/>
      <c r="Q106" s="561"/>
      <c r="R106" s="561"/>
      <c r="S106" s="493"/>
      <c r="T106" s="493"/>
      <c r="U106" s="493"/>
      <c r="V106" s="493"/>
      <c r="W106" s="493"/>
      <c r="X106" s="493"/>
      <c r="Y106" s="599"/>
      <c r="Z106" s="496"/>
      <c r="AA106" s="499"/>
      <c r="AB106" s="496"/>
      <c r="AC106" s="496"/>
      <c r="AD106" s="496"/>
    </row>
    <row r="107" spans="1:30" ht="9" customHeight="1">
      <c r="A107" s="495"/>
      <c r="B107" s="495"/>
      <c r="C107" s="493"/>
      <c r="D107" s="493"/>
      <c r="E107" s="493"/>
      <c r="F107" s="493"/>
      <c r="G107" s="493"/>
      <c r="H107" s="531"/>
      <c r="I107" s="531"/>
      <c r="J107" s="531"/>
      <c r="K107" s="531"/>
      <c r="L107" s="531"/>
      <c r="M107" s="493"/>
      <c r="N107" s="530"/>
      <c r="O107" s="561"/>
      <c r="P107" s="561"/>
      <c r="Q107" s="561"/>
      <c r="R107" s="561"/>
      <c r="S107" s="493"/>
      <c r="T107" s="493"/>
      <c r="U107" s="493"/>
      <c r="V107" s="493"/>
      <c r="W107" s="493"/>
      <c r="X107" s="493"/>
      <c r="Y107" s="599"/>
      <c r="Z107" s="496"/>
      <c r="AA107" s="499"/>
      <c r="AB107" s="496"/>
      <c r="AC107" s="496"/>
      <c r="AD107" s="496"/>
    </row>
    <row r="108" spans="1:30" ht="9" customHeight="1">
      <c r="A108" s="495"/>
      <c r="B108" s="495"/>
      <c r="C108" s="493"/>
      <c r="D108" s="493"/>
      <c r="E108" s="493"/>
      <c r="F108" s="493"/>
      <c r="G108" s="493"/>
      <c r="H108" s="531"/>
      <c r="I108" s="531"/>
      <c r="J108" s="531"/>
      <c r="K108" s="531"/>
      <c r="L108" s="531"/>
      <c r="M108" s="493"/>
      <c r="N108" s="530"/>
      <c r="O108" s="561"/>
      <c r="P108" s="561"/>
      <c r="Q108" s="561"/>
      <c r="R108" s="561"/>
      <c r="S108" s="493"/>
      <c r="T108" s="493"/>
      <c r="U108" s="493"/>
      <c r="V108" s="493"/>
      <c r="W108" s="493"/>
      <c r="X108" s="493"/>
      <c r="Y108" s="599"/>
      <c r="Z108" s="496"/>
      <c r="AA108" s="499"/>
      <c r="AB108" s="496"/>
      <c r="AC108" s="496"/>
      <c r="AD108" s="496"/>
    </row>
    <row r="109" spans="1:30" ht="9" customHeight="1">
      <c r="A109" s="495"/>
      <c r="B109" s="495"/>
      <c r="C109" s="493"/>
      <c r="D109" s="493"/>
      <c r="E109" s="493"/>
      <c r="F109" s="493"/>
      <c r="G109" s="493"/>
      <c r="H109" s="531"/>
      <c r="I109" s="531"/>
      <c r="J109" s="531"/>
      <c r="K109" s="531"/>
      <c r="L109" s="531"/>
      <c r="M109" s="493"/>
      <c r="N109" s="530"/>
      <c r="O109" s="561"/>
      <c r="P109" s="561"/>
      <c r="Q109" s="561"/>
      <c r="R109" s="561"/>
      <c r="S109" s="493"/>
      <c r="T109" s="493"/>
      <c r="U109" s="493"/>
      <c r="V109" s="493"/>
      <c r="W109" s="493"/>
      <c r="X109" s="493"/>
      <c r="Y109" s="599"/>
      <c r="Z109" s="496"/>
      <c r="AA109" s="499"/>
      <c r="AB109" s="496"/>
      <c r="AC109" s="496"/>
      <c r="AD109" s="496"/>
    </row>
    <row r="110" spans="1:30" ht="9" customHeight="1">
      <c r="A110" s="495"/>
      <c r="B110" s="495"/>
      <c r="C110" s="493"/>
      <c r="D110" s="493"/>
      <c r="E110" s="493"/>
      <c r="F110" s="493"/>
      <c r="G110" s="493"/>
      <c r="H110" s="531"/>
      <c r="I110" s="531"/>
      <c r="J110" s="531"/>
      <c r="K110" s="531"/>
      <c r="L110" s="531"/>
      <c r="M110" s="493"/>
      <c r="N110" s="530"/>
      <c r="O110" s="561"/>
      <c r="P110" s="561"/>
      <c r="Q110" s="561"/>
      <c r="R110" s="561"/>
      <c r="S110" s="493"/>
      <c r="T110" s="493"/>
      <c r="U110" s="493"/>
      <c r="V110" s="493"/>
      <c r="W110" s="493"/>
      <c r="X110" s="493"/>
      <c r="Y110" s="599"/>
      <c r="Z110" s="496"/>
      <c r="AA110" s="499"/>
      <c r="AB110" s="496"/>
      <c r="AC110" s="496"/>
      <c r="AD110" s="496"/>
    </row>
    <row r="111" spans="1:30" ht="9" customHeight="1">
      <c r="A111" s="495"/>
      <c r="B111" s="495"/>
      <c r="C111" s="493"/>
      <c r="D111" s="493"/>
      <c r="E111" s="493"/>
      <c r="F111" s="493"/>
      <c r="G111" s="493"/>
      <c r="H111" s="531"/>
      <c r="I111" s="531"/>
      <c r="J111" s="531"/>
      <c r="K111" s="531"/>
      <c r="L111" s="531"/>
      <c r="M111" s="493"/>
      <c r="N111" s="530"/>
      <c r="O111" s="561"/>
      <c r="P111" s="561"/>
      <c r="Q111" s="561"/>
      <c r="R111" s="561"/>
      <c r="S111" s="493"/>
      <c r="T111" s="493"/>
      <c r="U111" s="493"/>
      <c r="V111" s="493"/>
      <c r="W111" s="493"/>
      <c r="X111" s="493"/>
      <c r="Y111" s="599"/>
      <c r="Z111" s="496"/>
      <c r="AA111" s="499"/>
      <c r="AB111" s="496"/>
      <c r="AC111" s="496"/>
      <c r="AD111" s="496"/>
    </row>
    <row r="112" spans="1:30" ht="9" customHeight="1">
      <c r="A112" s="495"/>
      <c r="B112" s="495"/>
      <c r="C112" s="493"/>
      <c r="D112" s="493"/>
      <c r="E112" s="493"/>
      <c r="F112" s="493"/>
      <c r="G112" s="493"/>
      <c r="H112" s="531"/>
      <c r="I112" s="531"/>
      <c r="J112" s="531"/>
      <c r="K112" s="531"/>
      <c r="L112" s="531"/>
      <c r="M112" s="493"/>
      <c r="N112" s="530"/>
      <c r="O112" s="561"/>
      <c r="P112" s="561"/>
      <c r="Q112" s="561"/>
      <c r="R112" s="561"/>
      <c r="S112" s="493"/>
      <c r="T112" s="493"/>
      <c r="U112" s="493"/>
      <c r="V112" s="493"/>
      <c r="W112" s="493"/>
      <c r="X112" s="493"/>
      <c r="Y112" s="599"/>
      <c r="Z112" s="496"/>
      <c r="AA112" s="499"/>
      <c r="AB112" s="496"/>
      <c r="AC112" s="496"/>
      <c r="AD112" s="496"/>
    </row>
    <row r="113" spans="1:30" ht="9" customHeight="1">
      <c r="A113" s="495"/>
      <c r="B113" s="495"/>
      <c r="C113" s="493"/>
      <c r="D113" s="493"/>
      <c r="E113" s="493"/>
      <c r="F113" s="493"/>
      <c r="G113" s="493"/>
      <c r="H113" s="531"/>
      <c r="I113" s="531"/>
      <c r="J113" s="531"/>
      <c r="K113" s="531"/>
      <c r="L113" s="531"/>
      <c r="M113" s="493"/>
      <c r="N113" s="530"/>
      <c r="O113" s="561"/>
      <c r="P113" s="561"/>
      <c r="Q113" s="561"/>
      <c r="R113" s="561"/>
      <c r="S113" s="493"/>
      <c r="T113" s="493"/>
      <c r="U113" s="493"/>
      <c r="V113" s="493"/>
      <c r="W113" s="493"/>
      <c r="X113" s="493"/>
      <c r="Y113" s="599"/>
      <c r="Z113" s="496"/>
      <c r="AA113" s="499"/>
      <c r="AB113" s="496"/>
      <c r="AC113" s="496"/>
      <c r="AD113" s="496"/>
    </row>
    <row r="114" spans="1:30" ht="9" customHeight="1">
      <c r="A114" s="495"/>
      <c r="B114" s="495"/>
      <c r="C114" s="493"/>
      <c r="D114" s="493"/>
      <c r="E114" s="493"/>
      <c r="F114" s="493"/>
      <c r="G114" s="493"/>
      <c r="H114" s="531"/>
      <c r="I114" s="531"/>
      <c r="J114" s="531"/>
      <c r="K114" s="531"/>
      <c r="L114" s="531"/>
      <c r="M114" s="493"/>
      <c r="N114" s="530"/>
      <c r="O114" s="561"/>
      <c r="P114" s="561"/>
      <c r="Q114" s="561"/>
      <c r="R114" s="561"/>
      <c r="S114" s="493"/>
      <c r="T114" s="493"/>
      <c r="U114" s="493"/>
      <c r="V114" s="493"/>
      <c r="W114" s="493"/>
      <c r="X114" s="493"/>
      <c r="Y114" s="599"/>
      <c r="Z114" s="496"/>
      <c r="AA114" s="499"/>
      <c r="AB114" s="496"/>
      <c r="AC114" s="496"/>
      <c r="AD114" s="496"/>
    </row>
    <row r="115" spans="1:30" ht="9" customHeight="1">
      <c r="A115" s="495"/>
      <c r="B115" s="495"/>
      <c r="C115" s="493"/>
      <c r="D115" s="493"/>
      <c r="E115" s="493"/>
      <c r="F115" s="493"/>
      <c r="G115" s="493"/>
      <c r="H115" s="531"/>
      <c r="I115" s="531"/>
      <c r="J115" s="531"/>
      <c r="K115" s="531"/>
      <c r="L115" s="531"/>
      <c r="M115" s="493"/>
      <c r="N115" s="530"/>
      <c r="O115" s="561"/>
      <c r="P115" s="561"/>
      <c r="Q115" s="561"/>
      <c r="R115" s="561"/>
      <c r="S115" s="493"/>
      <c r="T115" s="493"/>
      <c r="U115" s="493"/>
      <c r="V115" s="493"/>
      <c r="W115" s="493"/>
      <c r="X115" s="493"/>
      <c r="Y115" s="599"/>
      <c r="Z115" s="496"/>
      <c r="AA115" s="499"/>
      <c r="AB115" s="496"/>
      <c r="AC115" s="496"/>
      <c r="AD115" s="496"/>
    </row>
    <row r="116" spans="1:30" ht="9" customHeight="1">
      <c r="A116" s="495"/>
      <c r="B116" s="495"/>
      <c r="C116" s="493"/>
      <c r="D116" s="493"/>
      <c r="E116" s="493"/>
      <c r="F116" s="493"/>
      <c r="G116" s="493"/>
      <c r="H116" s="531"/>
      <c r="I116" s="531"/>
      <c r="J116" s="531"/>
      <c r="K116" s="531"/>
      <c r="L116" s="531"/>
      <c r="M116" s="493"/>
      <c r="N116" s="530"/>
      <c r="O116" s="561"/>
      <c r="P116" s="561"/>
      <c r="Q116" s="561"/>
      <c r="R116" s="561"/>
      <c r="S116" s="493"/>
      <c r="T116" s="493"/>
      <c r="U116" s="493"/>
      <c r="V116" s="493"/>
      <c r="W116" s="493"/>
      <c r="X116" s="493"/>
      <c r="Y116" s="599"/>
      <c r="Z116" s="496"/>
      <c r="AA116" s="499"/>
      <c r="AB116" s="496"/>
      <c r="AC116" s="496"/>
      <c r="AD116" s="496"/>
    </row>
    <row r="117" spans="1:30" ht="9" customHeight="1">
      <c r="A117" s="495"/>
      <c r="B117" s="495"/>
      <c r="C117" s="493"/>
      <c r="D117" s="493"/>
      <c r="E117" s="493"/>
      <c r="F117" s="493"/>
      <c r="G117" s="493"/>
      <c r="H117" s="531"/>
      <c r="I117" s="531"/>
      <c r="J117" s="531"/>
      <c r="K117" s="531"/>
      <c r="L117" s="531"/>
      <c r="M117" s="493"/>
      <c r="N117" s="530"/>
      <c r="O117" s="561"/>
      <c r="P117" s="561"/>
      <c r="Q117" s="561"/>
      <c r="R117" s="561"/>
      <c r="S117" s="493"/>
      <c r="T117" s="493"/>
      <c r="U117" s="493"/>
      <c r="V117" s="493"/>
      <c r="W117" s="493"/>
      <c r="X117" s="493"/>
      <c r="Y117" s="599"/>
      <c r="Z117" s="496"/>
      <c r="AA117" s="499"/>
      <c r="AB117" s="496"/>
      <c r="AC117" s="496"/>
      <c r="AD117" s="496"/>
    </row>
    <row r="118" spans="1:30" ht="9" customHeight="1">
      <c r="A118" s="495"/>
      <c r="B118" s="495"/>
      <c r="C118" s="493"/>
      <c r="D118" s="493"/>
      <c r="E118" s="493"/>
      <c r="F118" s="493"/>
      <c r="G118" s="493"/>
      <c r="H118" s="531"/>
      <c r="I118" s="531"/>
      <c r="J118" s="531"/>
      <c r="K118" s="531"/>
      <c r="L118" s="531"/>
      <c r="M118" s="493"/>
      <c r="N118" s="530"/>
      <c r="O118" s="561"/>
      <c r="P118" s="561"/>
      <c r="Q118" s="561"/>
      <c r="R118" s="561"/>
      <c r="S118" s="493"/>
      <c r="T118" s="493"/>
      <c r="U118" s="493"/>
      <c r="V118" s="493"/>
      <c r="W118" s="493"/>
      <c r="X118" s="493"/>
      <c r="Y118" s="599"/>
      <c r="Z118" s="496"/>
      <c r="AA118" s="499"/>
      <c r="AB118" s="496"/>
      <c r="AC118" s="496"/>
      <c r="AD118" s="496"/>
    </row>
    <row r="119" spans="1:30" ht="9" customHeight="1">
      <c r="A119" s="495"/>
      <c r="B119" s="495"/>
      <c r="C119" s="493"/>
      <c r="D119" s="493"/>
      <c r="E119" s="493"/>
      <c r="F119" s="493"/>
      <c r="G119" s="493"/>
      <c r="H119" s="531"/>
      <c r="I119" s="531"/>
      <c r="J119" s="531"/>
      <c r="K119" s="531"/>
      <c r="L119" s="531"/>
      <c r="M119" s="493"/>
      <c r="N119" s="530"/>
      <c r="O119" s="561"/>
      <c r="P119" s="561"/>
      <c r="Q119" s="561"/>
      <c r="R119" s="561"/>
      <c r="S119" s="493"/>
      <c r="T119" s="493"/>
      <c r="U119" s="493"/>
      <c r="V119" s="493"/>
      <c r="W119" s="493"/>
      <c r="X119" s="493"/>
      <c r="Y119" s="599"/>
      <c r="Z119" s="496"/>
      <c r="AA119" s="499"/>
      <c r="AB119" s="496"/>
      <c r="AC119" s="496"/>
      <c r="AD119" s="496"/>
    </row>
    <row r="120" spans="1:30" ht="9" customHeight="1">
      <c r="A120" s="495"/>
      <c r="B120" s="495"/>
      <c r="C120" s="493"/>
      <c r="D120" s="493"/>
      <c r="E120" s="493"/>
      <c r="F120" s="493"/>
      <c r="G120" s="493"/>
      <c r="H120" s="531"/>
      <c r="I120" s="531"/>
      <c r="J120" s="531"/>
      <c r="K120" s="531"/>
      <c r="L120" s="531"/>
      <c r="M120" s="493"/>
      <c r="N120" s="530"/>
      <c r="O120" s="561"/>
      <c r="P120" s="561"/>
      <c r="Q120" s="561"/>
      <c r="R120" s="561"/>
      <c r="S120" s="493"/>
      <c r="T120" s="493"/>
      <c r="U120" s="493"/>
      <c r="V120" s="493"/>
      <c r="W120" s="493"/>
      <c r="X120" s="493"/>
      <c r="Y120" s="599"/>
      <c r="Z120" s="496"/>
      <c r="AA120" s="499"/>
      <c r="AB120" s="496"/>
      <c r="AC120" s="496"/>
      <c r="AD120" s="496"/>
    </row>
    <row r="121" spans="1:30" ht="9" customHeight="1">
      <c r="A121" s="495"/>
      <c r="B121" s="495"/>
      <c r="C121" s="493"/>
      <c r="D121" s="493"/>
      <c r="E121" s="493"/>
      <c r="F121" s="493"/>
      <c r="G121" s="493"/>
      <c r="H121" s="531"/>
      <c r="I121" s="531"/>
      <c r="J121" s="531"/>
      <c r="K121" s="531"/>
      <c r="L121" s="531"/>
      <c r="M121" s="493"/>
      <c r="N121" s="530"/>
      <c r="O121" s="561"/>
      <c r="P121" s="561"/>
      <c r="Q121" s="561"/>
      <c r="R121" s="561"/>
      <c r="S121" s="493"/>
      <c r="T121" s="493"/>
      <c r="U121" s="493"/>
      <c r="V121" s="493"/>
      <c r="W121" s="493"/>
      <c r="X121" s="493"/>
      <c r="Y121" s="599"/>
      <c r="Z121" s="496"/>
      <c r="AA121" s="499"/>
      <c r="AB121" s="496"/>
      <c r="AC121" s="496"/>
      <c r="AD121" s="496"/>
    </row>
    <row r="122" spans="1:30" ht="9" customHeight="1">
      <c r="A122" s="495"/>
      <c r="B122" s="495"/>
      <c r="C122" s="493"/>
      <c r="D122" s="493"/>
      <c r="E122" s="493"/>
      <c r="F122" s="493"/>
      <c r="G122" s="493"/>
      <c r="H122" s="531"/>
      <c r="I122" s="531"/>
      <c r="J122" s="531"/>
      <c r="K122" s="531"/>
      <c r="L122" s="531"/>
      <c r="M122" s="493"/>
      <c r="N122" s="530"/>
      <c r="O122" s="561"/>
      <c r="P122" s="561"/>
      <c r="Q122" s="561"/>
      <c r="R122" s="561"/>
      <c r="S122" s="493"/>
      <c r="T122" s="493"/>
      <c r="U122" s="493"/>
      <c r="V122" s="493"/>
      <c r="W122" s="493"/>
      <c r="X122" s="493"/>
      <c r="Y122" s="599"/>
      <c r="Z122" s="496"/>
      <c r="AA122" s="499"/>
      <c r="AB122" s="496"/>
      <c r="AC122" s="496"/>
      <c r="AD122" s="496"/>
    </row>
    <row r="123" spans="1:30" ht="9" customHeight="1">
      <c r="A123" s="495"/>
      <c r="B123" s="495"/>
      <c r="C123" s="493"/>
      <c r="D123" s="493"/>
      <c r="E123" s="493"/>
      <c r="F123" s="493"/>
      <c r="G123" s="493"/>
      <c r="H123" s="531"/>
      <c r="I123" s="531"/>
      <c r="J123" s="531"/>
      <c r="K123" s="531"/>
      <c r="L123" s="531"/>
      <c r="M123" s="493"/>
      <c r="N123" s="530"/>
      <c r="O123" s="561"/>
      <c r="P123" s="561"/>
      <c r="Q123" s="561"/>
      <c r="R123" s="561"/>
      <c r="S123" s="493"/>
      <c r="T123" s="493"/>
      <c r="U123" s="493"/>
      <c r="V123" s="493"/>
      <c r="W123" s="493"/>
      <c r="X123" s="493"/>
      <c r="Y123" s="599"/>
      <c r="Z123" s="496"/>
      <c r="AA123" s="499"/>
      <c r="AB123" s="496"/>
      <c r="AC123" s="496"/>
      <c r="AD123" s="496"/>
    </row>
    <row r="124" spans="1:30" ht="9" customHeight="1">
      <c r="A124" s="495"/>
      <c r="B124" s="495"/>
      <c r="C124" s="493"/>
      <c r="D124" s="493"/>
      <c r="E124" s="493"/>
      <c r="F124" s="493"/>
      <c r="G124" s="493"/>
      <c r="H124" s="531"/>
      <c r="I124" s="531"/>
      <c r="J124" s="531"/>
      <c r="K124" s="531"/>
      <c r="L124" s="531"/>
      <c r="M124" s="493"/>
      <c r="N124" s="530"/>
      <c r="O124" s="561"/>
      <c r="P124" s="561"/>
      <c r="Q124" s="561"/>
      <c r="R124" s="561"/>
      <c r="S124" s="493"/>
      <c r="T124" s="493"/>
      <c r="U124" s="493"/>
      <c r="V124" s="493"/>
      <c r="W124" s="493"/>
      <c r="X124" s="493"/>
      <c r="Y124" s="599"/>
      <c r="Z124" s="496"/>
      <c r="AA124" s="499"/>
      <c r="AB124" s="496"/>
      <c r="AC124" s="496"/>
      <c r="AD124" s="496"/>
    </row>
    <row r="125" spans="1:30" ht="9" customHeight="1">
      <c r="A125" s="495"/>
      <c r="B125" s="495"/>
      <c r="C125" s="493"/>
      <c r="D125" s="493"/>
      <c r="E125" s="493"/>
      <c r="F125" s="493"/>
      <c r="G125" s="493"/>
      <c r="H125" s="531"/>
      <c r="I125" s="531"/>
      <c r="J125" s="531"/>
      <c r="K125" s="531"/>
      <c r="L125" s="531"/>
      <c r="M125" s="493"/>
      <c r="N125" s="530"/>
      <c r="O125" s="561"/>
      <c r="P125" s="561"/>
      <c r="Q125" s="561"/>
      <c r="R125" s="561"/>
      <c r="S125" s="493"/>
      <c r="T125" s="493"/>
      <c r="U125" s="493"/>
      <c r="V125" s="493"/>
      <c r="W125" s="493"/>
      <c r="X125" s="493"/>
      <c r="Y125" s="599"/>
      <c r="Z125" s="496"/>
      <c r="AA125" s="499"/>
      <c r="AB125" s="496"/>
      <c r="AC125" s="496"/>
      <c r="AD125" s="496"/>
    </row>
    <row r="126" spans="1:30" ht="9" customHeight="1">
      <c r="A126" s="495"/>
      <c r="B126" s="495"/>
      <c r="C126" s="493"/>
      <c r="D126" s="493"/>
      <c r="E126" s="493"/>
      <c r="F126" s="493"/>
      <c r="G126" s="493"/>
      <c r="H126" s="531"/>
      <c r="I126" s="531"/>
      <c r="J126" s="531"/>
      <c r="K126" s="531"/>
      <c r="L126" s="531"/>
      <c r="M126" s="493"/>
      <c r="N126" s="530"/>
      <c r="O126" s="561"/>
      <c r="P126" s="561"/>
      <c r="Q126" s="561"/>
      <c r="R126" s="561"/>
      <c r="S126" s="493"/>
      <c r="T126" s="493"/>
      <c r="U126" s="493"/>
      <c r="V126" s="493"/>
      <c r="W126" s="493"/>
      <c r="X126" s="493"/>
      <c r="Y126" s="599"/>
      <c r="Z126" s="496"/>
      <c r="AA126" s="499"/>
      <c r="AB126" s="496"/>
      <c r="AC126" s="496"/>
      <c r="AD126" s="496"/>
    </row>
    <row r="127" spans="1:30" ht="9" customHeight="1">
      <c r="A127" s="495"/>
      <c r="B127" s="495"/>
      <c r="C127" s="493"/>
      <c r="D127" s="493"/>
      <c r="E127" s="493"/>
      <c r="F127" s="493"/>
      <c r="G127" s="493"/>
      <c r="H127" s="531"/>
      <c r="I127" s="531"/>
      <c r="J127" s="531"/>
      <c r="K127" s="531"/>
      <c r="L127" s="531"/>
      <c r="M127" s="493"/>
      <c r="N127" s="530"/>
      <c r="O127" s="561"/>
      <c r="P127" s="561"/>
      <c r="Q127" s="561"/>
      <c r="R127" s="561"/>
      <c r="S127" s="493"/>
      <c r="T127" s="493"/>
      <c r="U127" s="493"/>
      <c r="V127" s="493"/>
      <c r="W127" s="493"/>
      <c r="X127" s="493"/>
      <c r="Y127" s="599"/>
      <c r="Z127" s="496"/>
      <c r="AA127" s="499"/>
      <c r="AB127" s="496"/>
      <c r="AC127" s="496"/>
      <c r="AD127" s="496"/>
    </row>
    <row r="128" spans="1:30" ht="9" customHeight="1">
      <c r="A128" s="495"/>
      <c r="B128" s="495"/>
      <c r="C128" s="493"/>
      <c r="D128" s="493"/>
      <c r="E128" s="493"/>
      <c r="F128" s="493"/>
      <c r="G128" s="493"/>
      <c r="H128" s="531"/>
      <c r="I128" s="531"/>
      <c r="J128" s="531"/>
      <c r="K128" s="531"/>
      <c r="L128" s="531"/>
      <c r="M128" s="493"/>
      <c r="N128" s="530"/>
      <c r="O128" s="561"/>
      <c r="P128" s="561"/>
      <c r="Q128" s="561"/>
      <c r="R128" s="561"/>
      <c r="S128" s="493"/>
      <c r="T128" s="493"/>
      <c r="U128" s="493"/>
      <c r="V128" s="493"/>
      <c r="W128" s="493"/>
      <c r="X128" s="493"/>
      <c r="Y128" s="599"/>
      <c r="Z128" s="496"/>
      <c r="AA128" s="499"/>
      <c r="AB128" s="496"/>
      <c r="AC128" s="496"/>
      <c r="AD128" s="496"/>
    </row>
    <row r="129" spans="1:30" ht="9" customHeight="1">
      <c r="A129" s="495"/>
      <c r="B129" s="495"/>
      <c r="C129" s="493"/>
      <c r="D129" s="493"/>
      <c r="E129" s="493"/>
      <c r="F129" s="493"/>
      <c r="G129" s="493"/>
      <c r="H129" s="531"/>
      <c r="I129" s="531"/>
      <c r="J129" s="531"/>
      <c r="K129" s="531"/>
      <c r="L129" s="531"/>
      <c r="M129" s="493"/>
      <c r="N129" s="530"/>
      <c r="O129" s="561"/>
      <c r="P129" s="561"/>
      <c r="Q129" s="561"/>
      <c r="R129" s="561"/>
      <c r="S129" s="493"/>
      <c r="T129" s="493"/>
      <c r="U129" s="493"/>
      <c r="V129" s="493"/>
      <c r="W129" s="493"/>
      <c r="X129" s="493"/>
      <c r="Y129" s="599"/>
      <c r="Z129" s="496"/>
      <c r="AA129" s="499"/>
      <c r="AB129" s="496"/>
      <c r="AC129" s="496"/>
      <c r="AD129" s="496"/>
    </row>
    <row r="130" spans="1:30" ht="9" customHeight="1">
      <c r="A130" s="495"/>
      <c r="B130" s="495"/>
      <c r="C130" s="493"/>
      <c r="D130" s="493"/>
      <c r="E130" s="493"/>
      <c r="F130" s="493"/>
      <c r="G130" s="493"/>
      <c r="H130" s="531"/>
      <c r="I130" s="531"/>
      <c r="J130" s="531"/>
      <c r="K130" s="531"/>
      <c r="L130" s="531"/>
      <c r="M130" s="493"/>
      <c r="N130" s="530"/>
      <c r="O130" s="563"/>
      <c r="P130" s="563"/>
      <c r="Q130" s="563"/>
      <c r="R130" s="563"/>
      <c r="S130" s="493"/>
      <c r="T130" s="493"/>
      <c r="U130" s="493"/>
      <c r="V130" s="493"/>
      <c r="W130" s="493"/>
      <c r="X130" s="493"/>
      <c r="Y130" s="599"/>
      <c r="Z130" s="496"/>
      <c r="AA130" s="499"/>
      <c r="AB130" s="496"/>
      <c r="AC130" s="496"/>
      <c r="AD130" s="496"/>
    </row>
    <row r="131" spans="1:30" ht="9" customHeight="1">
      <c r="A131" s="495"/>
      <c r="B131" s="495"/>
      <c r="C131" s="493"/>
      <c r="D131" s="493"/>
      <c r="E131" s="493"/>
      <c r="F131" s="493"/>
      <c r="G131" s="493"/>
      <c r="H131" s="531"/>
      <c r="I131" s="531"/>
      <c r="J131" s="531"/>
      <c r="K131" s="531"/>
      <c r="L131" s="531"/>
      <c r="M131" s="493"/>
      <c r="N131" s="530"/>
      <c r="O131" s="564"/>
      <c r="P131" s="564"/>
      <c r="Q131" s="564"/>
      <c r="R131" s="564"/>
      <c r="S131" s="493"/>
      <c r="T131" s="493"/>
      <c r="U131" s="493"/>
      <c r="V131" s="493"/>
      <c r="W131" s="493"/>
      <c r="X131" s="493"/>
      <c r="Y131" s="599"/>
      <c r="Z131" s="496"/>
      <c r="AA131" s="499"/>
      <c r="AB131" s="496"/>
      <c r="AC131" s="496"/>
      <c r="AD131" s="496"/>
    </row>
    <row r="132" spans="1:30" ht="9" customHeight="1">
      <c r="A132" s="495"/>
      <c r="B132" s="495"/>
      <c r="C132" s="493"/>
      <c r="D132" s="493"/>
      <c r="E132" s="493"/>
      <c r="F132" s="493"/>
      <c r="G132" s="493"/>
      <c r="H132" s="531"/>
      <c r="I132" s="531"/>
      <c r="J132" s="531"/>
      <c r="K132" s="531"/>
      <c r="L132" s="531"/>
      <c r="M132" s="493"/>
      <c r="N132" s="530"/>
      <c r="O132" s="563"/>
      <c r="P132" s="563"/>
      <c r="Q132" s="563"/>
      <c r="R132" s="563"/>
      <c r="S132" s="493"/>
      <c r="T132" s="493"/>
      <c r="U132" s="493"/>
      <c r="V132" s="493"/>
      <c r="W132" s="493"/>
      <c r="X132" s="493"/>
      <c r="Y132" s="599"/>
      <c r="Z132" s="496"/>
      <c r="AA132" s="499"/>
      <c r="AB132" s="496"/>
      <c r="AC132" s="496"/>
      <c r="AD132" s="496"/>
    </row>
    <row r="133" spans="1:30" ht="9" customHeight="1">
      <c r="A133" s="495"/>
      <c r="B133" s="495"/>
      <c r="C133" s="493"/>
      <c r="D133" s="493"/>
      <c r="E133" s="493"/>
      <c r="F133" s="493"/>
      <c r="G133" s="493"/>
      <c r="H133" s="531"/>
      <c r="I133" s="531"/>
      <c r="J133" s="531"/>
      <c r="K133" s="531"/>
      <c r="L133" s="531"/>
      <c r="M133" s="493"/>
      <c r="N133" s="530"/>
      <c r="O133" s="564"/>
      <c r="P133" s="564"/>
      <c r="Q133" s="564"/>
      <c r="R133" s="564"/>
      <c r="S133" s="493"/>
      <c r="T133" s="493"/>
      <c r="U133" s="493"/>
      <c r="V133" s="493"/>
      <c r="W133" s="493"/>
      <c r="X133" s="493"/>
      <c r="Y133" s="599"/>
      <c r="Z133" s="496"/>
      <c r="AA133" s="499"/>
      <c r="AB133" s="496"/>
      <c r="AC133" s="496"/>
      <c r="AD133" s="496"/>
    </row>
    <row r="134" spans="1:30" ht="9" customHeight="1">
      <c r="A134" s="495"/>
      <c r="B134" s="495"/>
      <c r="C134" s="493"/>
      <c r="D134" s="493"/>
      <c r="E134" s="493"/>
      <c r="F134" s="493"/>
      <c r="G134" s="493"/>
      <c r="H134" s="531"/>
      <c r="I134" s="531"/>
      <c r="J134" s="531"/>
      <c r="K134" s="531"/>
      <c r="L134" s="531"/>
      <c r="M134" s="493"/>
      <c r="N134" s="530"/>
      <c r="O134" s="561"/>
      <c r="P134" s="561"/>
      <c r="Q134" s="561"/>
      <c r="R134" s="561"/>
      <c r="S134" s="493"/>
      <c r="T134" s="493"/>
      <c r="U134" s="493"/>
      <c r="V134" s="493"/>
      <c r="W134" s="493"/>
      <c r="X134" s="493"/>
      <c r="Y134" s="599"/>
      <c r="Z134" s="496"/>
      <c r="AA134" s="499"/>
      <c r="AB134" s="496"/>
      <c r="AC134" s="496"/>
      <c r="AD134" s="496"/>
    </row>
    <row r="135" spans="1:30" ht="9" customHeight="1">
      <c r="A135" s="495"/>
      <c r="B135" s="495"/>
      <c r="C135" s="493"/>
      <c r="D135" s="493"/>
      <c r="E135" s="493"/>
      <c r="F135" s="493"/>
      <c r="G135" s="493"/>
      <c r="H135" s="531"/>
      <c r="I135" s="531"/>
      <c r="J135" s="531"/>
      <c r="K135" s="531"/>
      <c r="L135" s="531"/>
      <c r="M135" s="493"/>
      <c r="N135" s="530"/>
      <c r="O135" s="561"/>
      <c r="P135" s="561"/>
      <c r="Q135" s="561"/>
      <c r="R135" s="561"/>
      <c r="S135" s="493"/>
      <c r="T135" s="493"/>
      <c r="U135" s="493"/>
      <c r="V135" s="493"/>
      <c r="W135" s="493"/>
      <c r="X135" s="493"/>
      <c r="Y135" s="599"/>
      <c r="Z135" s="496"/>
      <c r="AA135" s="499"/>
      <c r="AB135" s="496"/>
      <c r="AC135" s="496"/>
      <c r="AD135" s="496"/>
    </row>
    <row r="136" spans="1:30" ht="9" customHeight="1">
      <c r="A136" s="495"/>
      <c r="B136" s="495"/>
      <c r="C136" s="493"/>
      <c r="D136" s="493"/>
      <c r="E136" s="493"/>
      <c r="F136" s="493"/>
      <c r="G136" s="493"/>
      <c r="H136" s="531"/>
      <c r="I136" s="531"/>
      <c r="J136" s="531"/>
      <c r="K136" s="531"/>
      <c r="L136" s="531"/>
      <c r="M136" s="493"/>
      <c r="N136" s="530"/>
      <c r="O136" s="561"/>
      <c r="P136" s="561"/>
      <c r="Q136" s="561"/>
      <c r="R136" s="561"/>
      <c r="S136" s="493"/>
      <c r="T136" s="493"/>
      <c r="U136" s="493"/>
      <c r="V136" s="493"/>
      <c r="W136" s="493"/>
      <c r="X136" s="493"/>
      <c r="Y136" s="599"/>
      <c r="Z136" s="496"/>
      <c r="AA136" s="499"/>
      <c r="AB136" s="496"/>
      <c r="AC136" s="496"/>
      <c r="AD136" s="496"/>
    </row>
    <row r="137" spans="1:30" ht="9" customHeight="1">
      <c r="A137" s="495"/>
      <c r="B137" s="495"/>
      <c r="C137" s="493"/>
      <c r="D137" s="493"/>
      <c r="E137" s="493"/>
      <c r="F137" s="493"/>
      <c r="G137" s="493"/>
      <c r="H137" s="531"/>
      <c r="I137" s="531"/>
      <c r="J137" s="531"/>
      <c r="K137" s="531"/>
      <c r="L137" s="531"/>
      <c r="M137" s="493"/>
      <c r="N137" s="530"/>
      <c r="O137" s="565"/>
      <c r="P137" s="565"/>
      <c r="Q137" s="565"/>
      <c r="R137" s="565"/>
      <c r="S137" s="493"/>
      <c r="T137" s="493"/>
      <c r="U137" s="493"/>
      <c r="V137" s="493"/>
      <c r="W137" s="493"/>
      <c r="X137" s="493"/>
      <c r="Y137" s="599"/>
      <c r="Z137" s="496"/>
      <c r="AA137" s="499"/>
      <c r="AB137" s="496"/>
      <c r="AC137" s="496"/>
      <c r="AD137" s="496"/>
    </row>
    <row r="138" spans="1:30" ht="9" customHeight="1">
      <c r="A138" s="495"/>
      <c r="B138" s="495"/>
      <c r="C138" s="493"/>
      <c r="D138" s="493"/>
      <c r="E138" s="493"/>
      <c r="F138" s="493"/>
      <c r="G138" s="493"/>
      <c r="H138" s="531"/>
      <c r="I138" s="531"/>
      <c r="J138" s="531"/>
      <c r="K138" s="531"/>
      <c r="L138" s="531"/>
      <c r="M138" s="493"/>
      <c r="N138" s="530"/>
      <c r="O138" s="562"/>
      <c r="P138" s="562"/>
      <c r="Q138" s="562"/>
      <c r="R138" s="562"/>
      <c r="S138" s="493"/>
      <c r="T138" s="493"/>
      <c r="U138" s="493"/>
      <c r="V138" s="493"/>
      <c r="W138" s="493"/>
      <c r="X138" s="493"/>
      <c r="Y138" s="599"/>
      <c r="Z138" s="496"/>
      <c r="AA138" s="499"/>
      <c r="AB138" s="496"/>
      <c r="AC138" s="496"/>
      <c r="AD138" s="496"/>
    </row>
    <row r="139" spans="1:30" ht="9" customHeight="1">
      <c r="A139" s="495"/>
      <c r="B139" s="495"/>
      <c r="C139" s="493"/>
      <c r="D139" s="493"/>
      <c r="E139" s="493"/>
      <c r="F139" s="493"/>
      <c r="G139" s="493"/>
      <c r="H139" s="531"/>
      <c r="I139" s="531"/>
      <c r="J139" s="531"/>
      <c r="K139" s="531"/>
      <c r="L139" s="531"/>
      <c r="M139" s="493"/>
      <c r="N139" s="530"/>
      <c r="O139" s="493"/>
      <c r="P139" s="493"/>
      <c r="Q139" s="493"/>
      <c r="R139" s="493"/>
      <c r="S139" s="493"/>
      <c r="T139" s="493"/>
      <c r="U139" s="493"/>
      <c r="V139" s="493"/>
      <c r="W139" s="493"/>
      <c r="X139" s="493"/>
      <c r="Y139" s="599"/>
      <c r="Z139" s="496"/>
      <c r="AA139" s="499"/>
      <c r="AB139" s="496"/>
      <c r="AC139" s="496"/>
      <c r="AD139" s="496"/>
    </row>
    <row r="140" spans="1:30" ht="9" customHeight="1">
      <c r="A140" s="495"/>
      <c r="B140" s="495"/>
      <c r="C140" s="493"/>
      <c r="D140" s="493"/>
      <c r="E140" s="493"/>
      <c r="F140" s="493"/>
      <c r="G140" s="493"/>
      <c r="H140" s="531"/>
      <c r="I140" s="531"/>
      <c r="J140" s="531"/>
      <c r="K140" s="531"/>
      <c r="L140" s="531"/>
      <c r="M140" s="493"/>
      <c r="N140" s="530"/>
      <c r="O140" s="493"/>
      <c r="P140" s="493"/>
      <c r="Q140" s="493"/>
      <c r="R140" s="493"/>
      <c r="S140" s="493"/>
      <c r="T140" s="493"/>
      <c r="U140" s="493"/>
      <c r="V140" s="493"/>
      <c r="W140" s="493"/>
      <c r="X140" s="493"/>
      <c r="Y140" s="599"/>
      <c r="Z140" s="496"/>
      <c r="AA140" s="499"/>
      <c r="AB140" s="496"/>
      <c r="AC140" s="496"/>
      <c r="AD140" s="496"/>
    </row>
    <row r="141" spans="1:30" ht="9" customHeight="1">
      <c r="A141" s="495"/>
      <c r="B141" s="495"/>
      <c r="C141" s="493"/>
      <c r="D141" s="493"/>
      <c r="E141" s="493"/>
      <c r="F141" s="493"/>
      <c r="G141" s="493"/>
      <c r="H141" s="531"/>
      <c r="I141" s="531"/>
      <c r="J141" s="531"/>
      <c r="K141" s="531"/>
      <c r="L141" s="531"/>
      <c r="M141" s="493"/>
      <c r="N141" s="530"/>
      <c r="O141" s="493"/>
      <c r="P141" s="493"/>
      <c r="Q141" s="493"/>
      <c r="R141" s="493"/>
      <c r="S141" s="493"/>
      <c r="T141" s="493"/>
      <c r="U141" s="493"/>
      <c r="V141" s="493"/>
      <c r="W141" s="493"/>
      <c r="X141" s="493"/>
      <c r="Y141" s="599"/>
      <c r="Z141" s="496"/>
      <c r="AA141" s="499"/>
      <c r="AB141" s="496"/>
      <c r="AC141" s="496"/>
      <c r="AD141" s="496"/>
    </row>
    <row r="142" spans="1:30" ht="9" customHeight="1">
      <c r="A142" s="495"/>
      <c r="B142" s="495"/>
      <c r="C142" s="493"/>
      <c r="D142" s="493"/>
      <c r="E142" s="493"/>
      <c r="F142" s="493"/>
      <c r="G142" s="493"/>
      <c r="H142" s="531"/>
      <c r="I142" s="531"/>
      <c r="J142" s="531"/>
      <c r="K142" s="531"/>
      <c r="L142" s="531"/>
      <c r="M142" s="493"/>
      <c r="N142" s="530"/>
      <c r="O142" s="493"/>
      <c r="P142" s="493"/>
      <c r="Q142" s="493"/>
      <c r="R142" s="493"/>
      <c r="S142" s="493"/>
      <c r="T142" s="493"/>
      <c r="U142" s="493"/>
      <c r="V142" s="493"/>
      <c r="W142" s="493"/>
      <c r="X142" s="493"/>
      <c r="Y142" s="599"/>
      <c r="Z142" s="496"/>
      <c r="AA142" s="499"/>
      <c r="AB142" s="496"/>
      <c r="AC142" s="496"/>
      <c r="AD142" s="496"/>
    </row>
    <row r="143" spans="1:30" ht="9" customHeight="1">
      <c r="A143" s="495"/>
      <c r="B143" s="495"/>
      <c r="C143" s="493"/>
      <c r="D143" s="493"/>
      <c r="E143" s="493"/>
      <c r="F143" s="493"/>
      <c r="G143" s="493"/>
      <c r="H143" s="531"/>
      <c r="I143" s="531"/>
      <c r="J143" s="531"/>
      <c r="K143" s="531"/>
      <c r="L143" s="531"/>
      <c r="M143" s="493"/>
      <c r="N143" s="530"/>
      <c r="O143" s="493"/>
      <c r="P143" s="493"/>
      <c r="Q143" s="493"/>
      <c r="R143" s="493"/>
      <c r="S143" s="493"/>
      <c r="T143" s="493"/>
      <c r="U143" s="493"/>
      <c r="V143" s="493"/>
      <c r="W143" s="493"/>
      <c r="X143" s="493"/>
      <c r="Y143" s="599"/>
      <c r="Z143" s="496"/>
      <c r="AA143" s="499"/>
      <c r="AB143" s="496"/>
      <c r="AC143" s="496"/>
      <c r="AD143" s="496"/>
    </row>
    <row r="144" spans="1:30" ht="9" customHeight="1">
      <c r="A144" s="495"/>
      <c r="B144" s="495"/>
      <c r="C144" s="493"/>
      <c r="D144" s="493"/>
      <c r="E144" s="493"/>
      <c r="F144" s="493"/>
      <c r="G144" s="493"/>
      <c r="H144" s="531"/>
      <c r="I144" s="531"/>
      <c r="J144" s="531"/>
      <c r="K144" s="531"/>
      <c r="L144" s="531"/>
      <c r="M144" s="493"/>
      <c r="N144" s="530"/>
      <c r="O144" s="493"/>
      <c r="P144" s="493"/>
      <c r="Q144" s="493"/>
      <c r="R144" s="493"/>
      <c r="S144" s="493"/>
      <c r="T144" s="493"/>
      <c r="U144" s="493"/>
      <c r="V144" s="493"/>
      <c r="W144" s="493"/>
      <c r="X144" s="493"/>
      <c r="Y144" s="599"/>
      <c r="Z144" s="496"/>
      <c r="AA144" s="499"/>
      <c r="AB144" s="496"/>
      <c r="AC144" s="496"/>
      <c r="AD144" s="496"/>
    </row>
    <row r="145" spans="1:30" ht="9" customHeight="1">
      <c r="A145" s="495"/>
      <c r="B145" s="495"/>
      <c r="C145" s="493"/>
      <c r="D145" s="493"/>
      <c r="E145" s="493"/>
      <c r="F145" s="493"/>
      <c r="G145" s="493"/>
      <c r="H145" s="531"/>
      <c r="I145" s="531"/>
      <c r="J145" s="531"/>
      <c r="K145" s="531"/>
      <c r="L145" s="531"/>
      <c r="M145" s="493"/>
      <c r="N145" s="530"/>
      <c r="O145" s="493"/>
      <c r="P145" s="493"/>
      <c r="Q145" s="493"/>
      <c r="R145" s="493"/>
      <c r="S145" s="493"/>
      <c r="T145" s="493"/>
      <c r="U145" s="493"/>
      <c r="V145" s="493"/>
      <c r="W145" s="493"/>
      <c r="X145" s="493"/>
      <c r="Y145" s="599"/>
      <c r="Z145" s="496"/>
      <c r="AA145" s="499"/>
      <c r="AB145" s="496"/>
      <c r="AC145" s="496"/>
      <c r="AD145" s="496"/>
    </row>
    <row r="146" spans="1:30" ht="9" customHeight="1">
      <c r="A146" s="495"/>
      <c r="B146" s="495"/>
      <c r="C146" s="493"/>
      <c r="D146" s="493"/>
      <c r="E146" s="493"/>
      <c r="F146" s="493"/>
      <c r="G146" s="493"/>
      <c r="H146" s="531"/>
      <c r="I146" s="531"/>
      <c r="J146" s="531"/>
      <c r="K146" s="531"/>
      <c r="L146" s="531"/>
      <c r="M146" s="493"/>
      <c r="N146" s="530"/>
      <c r="O146" s="493"/>
      <c r="P146" s="493"/>
      <c r="Q146" s="493"/>
      <c r="R146" s="493"/>
      <c r="S146" s="493"/>
      <c r="T146" s="493"/>
      <c r="U146" s="493"/>
      <c r="V146" s="493"/>
      <c r="W146" s="493"/>
      <c r="X146" s="493"/>
      <c r="Y146" s="599"/>
      <c r="Z146" s="496"/>
      <c r="AA146" s="499"/>
      <c r="AB146" s="496"/>
      <c r="AC146" s="496"/>
      <c r="AD146" s="496"/>
    </row>
    <row r="147" spans="1:30" ht="9" customHeight="1">
      <c r="A147" s="495"/>
      <c r="B147" s="495"/>
      <c r="C147" s="495"/>
      <c r="D147" s="495"/>
      <c r="E147" s="495"/>
      <c r="F147" s="495"/>
      <c r="G147" s="495"/>
      <c r="H147" s="495"/>
      <c r="I147" s="495"/>
      <c r="J147" s="495"/>
      <c r="K147" s="495"/>
      <c r="L147" s="495"/>
      <c r="M147" s="495"/>
      <c r="N147" s="495"/>
      <c r="O147" s="495"/>
      <c r="P147" s="495"/>
      <c r="Q147" s="495"/>
      <c r="R147" s="495"/>
      <c r="S147" s="495"/>
      <c r="T147" s="495"/>
      <c r="U147" s="495"/>
      <c r="V147" s="495"/>
      <c r="W147" s="495"/>
      <c r="X147" s="495"/>
      <c r="Y147" s="495"/>
      <c r="Z147" s="495"/>
      <c r="AA147" s="495"/>
      <c r="AB147" s="495"/>
      <c r="AC147" s="495"/>
      <c r="AD147" s="495"/>
    </row>
    <row r="148" spans="1:30" ht="90" customHeight="1">
      <c r="A148" s="495" t="s">
        <v>1074</v>
      </c>
      <c r="B148" s="495"/>
      <c r="C148" s="493" t="s">
        <v>1573</v>
      </c>
      <c r="D148" s="493" t="s">
        <v>965</v>
      </c>
      <c r="E148" s="493" t="s">
        <v>1076</v>
      </c>
      <c r="F148" s="493" t="s">
        <v>1574</v>
      </c>
      <c r="G148" s="493"/>
      <c r="H148" s="493"/>
      <c r="I148" s="567"/>
      <c r="J148" s="567"/>
      <c r="K148" s="567"/>
      <c r="L148" s="567"/>
      <c r="M148" s="53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98"/>
      <c r="O148" s="493"/>
      <c r="P148" s="494"/>
      <c r="Q148" s="494"/>
      <c r="R148" s="494"/>
      <c r="S148" s="493"/>
      <c r="T148" s="493" t="s">
        <v>1575</v>
      </c>
      <c r="U148" s="49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94"/>
      <c r="W148" s="494"/>
      <c r="X148" s="493" t="s">
        <v>1576</v>
      </c>
      <c r="Y148" s="599"/>
      <c r="Z148" s="496"/>
      <c r="AA148" s="499"/>
      <c r="AB148" s="496"/>
      <c r="AC148" s="496"/>
      <c r="AD148" s="496"/>
    </row>
    <row r="149" spans="1:30" ht="9" customHeight="1">
      <c r="A149" s="495"/>
      <c r="B149" s="495"/>
      <c r="C149" s="495"/>
      <c r="D149" s="495"/>
      <c r="E149" s="495"/>
      <c r="F149" s="495"/>
      <c r="G149" s="495"/>
      <c r="H149" s="495"/>
      <c r="I149" s="495"/>
      <c r="J149" s="495"/>
      <c r="K149" s="495"/>
      <c r="L149" s="495"/>
      <c r="M149" s="495"/>
      <c r="N149" s="495"/>
      <c r="O149" s="495"/>
      <c r="P149" s="495"/>
      <c r="Q149" s="495"/>
      <c r="R149" s="495"/>
      <c r="S149" s="495"/>
      <c r="T149" s="495"/>
      <c r="U149" s="495"/>
      <c r="V149" s="495"/>
      <c r="W149" s="495"/>
      <c r="X149" s="495"/>
      <c r="Y149" s="495"/>
      <c r="Z149" s="495"/>
      <c r="AA149" s="495"/>
      <c r="AB149" s="495"/>
      <c r="AC149" s="495"/>
      <c r="AD149" s="495"/>
    </row>
    <row r="150" spans="1:30" ht="9" customHeight="1">
      <c r="A150" s="495" t="s">
        <v>1080</v>
      </c>
      <c r="B150" s="495"/>
      <c r="C150" s="493"/>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599"/>
      <c r="Z150" s="496"/>
      <c r="AA150" s="499"/>
      <c r="AB150" s="496"/>
      <c r="AC150" s="496"/>
      <c r="AD150" s="496"/>
    </row>
    <row r="151" spans="1:30" ht="9" customHeight="1">
      <c r="A151" s="495"/>
      <c r="B151" s="495"/>
      <c r="C151" s="495"/>
      <c r="D151" s="495"/>
      <c r="E151" s="495"/>
      <c r="F151" s="495"/>
      <c r="G151" s="495"/>
      <c r="H151" s="495"/>
      <c r="I151" s="495"/>
      <c r="J151" s="495"/>
      <c r="K151" s="495"/>
      <c r="L151" s="495"/>
      <c r="M151" s="495"/>
      <c r="N151" s="495"/>
      <c r="O151" s="495"/>
      <c r="P151" s="495"/>
      <c r="Q151" s="495"/>
      <c r="R151" s="495"/>
      <c r="S151" s="495"/>
      <c r="T151" s="495"/>
      <c r="U151" s="495"/>
      <c r="V151" s="495"/>
      <c r="W151" s="495"/>
      <c r="X151" s="495"/>
      <c r="Y151" s="495"/>
      <c r="Z151" s="495"/>
      <c r="AA151" s="495"/>
      <c r="AB151" s="495"/>
      <c r="AC151" s="495"/>
      <c r="AD151" s="495"/>
    </row>
    <row r="152" spans="1:30" ht="9" customHeight="1">
      <c r="A152" s="495" t="s">
        <v>1085</v>
      </c>
      <c r="B152" s="495"/>
      <c r="C152" s="493"/>
      <c r="D152" s="493"/>
      <c r="E152" s="493"/>
      <c r="F152" s="493"/>
      <c r="G152" s="493"/>
      <c r="H152" s="493"/>
      <c r="I152" s="493"/>
      <c r="J152" s="493"/>
      <c r="K152" s="493"/>
      <c r="L152" s="493"/>
      <c r="M152" s="493"/>
      <c r="N152" s="493"/>
      <c r="O152" s="493"/>
      <c r="P152" s="493"/>
      <c r="Q152" s="493"/>
      <c r="R152" s="493"/>
      <c r="S152" s="493"/>
      <c r="T152" s="493"/>
      <c r="U152" s="493"/>
      <c r="V152" s="493"/>
      <c r="W152" s="493"/>
      <c r="X152" s="493"/>
      <c r="Y152" s="599"/>
      <c r="Z152" s="496"/>
      <c r="AA152" s="499"/>
      <c r="AB152" s="496"/>
      <c r="AC152" s="496"/>
      <c r="AD152" s="496"/>
    </row>
    <row r="153" spans="1:30" ht="9" customHeight="1">
      <c r="A153" s="495"/>
      <c r="B153" s="495"/>
      <c r="C153" s="495"/>
      <c r="D153" s="495"/>
      <c r="E153" s="495"/>
      <c r="F153" s="495"/>
      <c r="G153" s="495"/>
      <c r="H153" s="495"/>
      <c r="I153" s="495"/>
      <c r="J153" s="495"/>
      <c r="K153" s="495"/>
      <c r="L153" s="495"/>
      <c r="M153" s="495"/>
      <c r="N153" s="495"/>
      <c r="O153" s="495"/>
      <c r="P153" s="495"/>
      <c r="Q153" s="495"/>
      <c r="R153" s="495"/>
      <c r="S153" s="495"/>
      <c r="T153" s="495"/>
      <c r="U153" s="495"/>
      <c r="V153" s="495"/>
      <c r="W153" s="495"/>
      <c r="X153" s="495"/>
      <c r="Y153" s="495"/>
      <c r="Z153" s="495"/>
      <c r="AA153" s="495"/>
      <c r="AB153" s="495"/>
      <c r="AC153" s="495"/>
      <c r="AD153" s="495"/>
    </row>
    <row r="154" spans="1:30" ht="9" customHeight="1">
      <c r="A154" s="495" t="s">
        <v>1090</v>
      </c>
      <c r="B154" s="495"/>
      <c r="C154" s="493"/>
      <c r="D154" s="493"/>
      <c r="E154" s="493"/>
      <c r="F154" s="493"/>
      <c r="G154" s="493"/>
      <c r="H154" s="493"/>
      <c r="I154" s="493"/>
      <c r="J154" s="493"/>
      <c r="K154" s="493"/>
      <c r="L154" s="493"/>
      <c r="M154" s="493"/>
      <c r="N154" s="493"/>
      <c r="O154" s="493"/>
      <c r="P154" s="493"/>
      <c r="Q154" s="493"/>
      <c r="R154" s="493"/>
      <c r="S154" s="493"/>
      <c r="T154" s="493"/>
      <c r="U154" s="493"/>
      <c r="V154" s="493"/>
      <c r="W154" s="493"/>
      <c r="X154" s="493"/>
      <c r="Y154" s="599"/>
      <c r="Z154" s="496"/>
      <c r="AA154" s="499"/>
      <c r="AB154" s="496"/>
      <c r="AC154" s="496"/>
      <c r="AD154" s="49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A435A-C6B9-FF28-AEBA-4FBE19966C47}">
  <sheetPr>
    <tabColor theme="6" tint="0.39997558519241921"/>
  </sheetPr>
  <dimension ref="A1:AC40"/>
  <sheetViews>
    <sheetView showGridLines="0" topLeftCell="I4"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2.28515625" style="60" hidden="1" customWidth="1"/>
    <col min="6" max="8" width="12.28515625" style="519" hidden="1"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1:29" ht="14.25" hidden="1" customHeight="1"/>
    <row r="2" spans="1:29" ht="14.25" hidden="1" customHeight="1"/>
    <row r="3" spans="1:29" ht="14.25" hidden="1" customHeight="1"/>
    <row r="4" spans="1:29" ht="14.25" customHeight="1">
      <c r="J4" s="27"/>
      <c r="K4" s="27"/>
      <c r="L4" s="764"/>
      <c r="M4" s="8"/>
      <c r="N4" s="8"/>
    </row>
    <row r="5" spans="1:29" ht="64.5" customHeight="1">
      <c r="J5" s="27"/>
      <c r="K5" s="27"/>
      <c r="L5" s="1144" t="s">
        <v>1577</v>
      </c>
      <c r="M5" s="1144"/>
      <c r="N5" s="1144"/>
      <c r="O5" s="1144"/>
      <c r="P5" s="1144"/>
      <c r="Q5" s="1144"/>
      <c r="R5" s="1144"/>
      <c r="S5" s="1144"/>
      <c r="T5" s="1144"/>
      <c r="U5" s="1144"/>
      <c r="V5" s="57"/>
    </row>
    <row r="6" spans="1:29" ht="14.25" customHeight="1">
      <c r="J6" s="27"/>
      <c r="K6" s="27"/>
      <c r="L6" s="1167" t="str">
        <f>IF(org=0,"Не определено",org)</f>
        <v>ООО "Концессионная Коммунальная Компания"</v>
      </c>
      <c r="M6" s="1167"/>
      <c r="N6" s="1167"/>
      <c r="O6" s="1167"/>
      <c r="P6" s="1167"/>
      <c r="Q6" s="1167"/>
      <c r="R6" s="1167"/>
      <c r="S6" s="1167"/>
      <c r="T6" s="1167"/>
      <c r="U6" s="1167"/>
      <c r="V6" s="57"/>
    </row>
    <row r="7" spans="1:29" ht="14.25" customHeight="1">
      <c r="J7" s="27"/>
      <c r="K7" s="27"/>
      <c r="L7" s="764"/>
      <c r="M7" s="8"/>
      <c r="N7" s="8"/>
      <c r="O7" s="193"/>
      <c r="P7" s="193"/>
      <c r="Q7" s="193"/>
      <c r="R7" s="193"/>
      <c r="S7" s="193"/>
      <c r="T7" s="193"/>
      <c r="U7" s="193"/>
      <c r="V7" s="193"/>
    </row>
    <row r="8" spans="1:29" s="33" customFormat="1" ht="45" customHeight="1">
      <c r="A8" s="79"/>
      <c r="B8" s="79"/>
      <c r="C8" s="79"/>
      <c r="D8" s="79"/>
      <c r="E8" s="79"/>
      <c r="F8" s="79"/>
      <c r="G8" s="79"/>
      <c r="H8" s="79"/>
      <c r="L8" s="765"/>
      <c r="M8" s="169" t="s">
        <v>40</v>
      </c>
      <c r="N8" s="174"/>
      <c r="O8" s="1280" t="str">
        <f>IF(TITLE_NAME_OR_PR_CHANGE="",IF(TITLE_NAME_OR_PR="","",TITLE_NAME_OR_PR),TITLE_NAME_OR_PR_CHANGE)</f>
        <v/>
      </c>
      <c r="P8" s="1280"/>
      <c r="Q8" s="1280"/>
      <c r="R8" s="1280"/>
      <c r="S8" s="1280"/>
      <c r="T8" s="1280"/>
      <c r="U8" s="1280"/>
      <c r="V8" s="9"/>
      <c r="W8" s="9"/>
      <c r="X8" s="162"/>
      <c r="Y8" s="66"/>
      <c r="Z8" s="66"/>
      <c r="AA8" s="66"/>
      <c r="AB8" s="66"/>
      <c r="AC8" s="66"/>
    </row>
    <row r="9" spans="1:29" s="33" customFormat="1" ht="22.5" customHeight="1">
      <c r="A9" s="79"/>
      <c r="B9" s="79"/>
      <c r="C9" s="79"/>
      <c r="D9" s="79"/>
      <c r="E9" s="79"/>
      <c r="F9" s="79"/>
      <c r="G9" s="79"/>
      <c r="H9" s="79"/>
      <c r="L9" s="765"/>
      <c r="M9" s="169" t="s">
        <v>494</v>
      </c>
      <c r="N9" s="174"/>
      <c r="O9" s="1280" t="str">
        <f>IF(TITLE_DATE_CHANGE_PERIOD="",IF(TITLE_DATE_PR="","",TITLE_DATE_PR),TITLE_DATE_CHANGE_PERIOD)</f>
        <v/>
      </c>
      <c r="P9" s="1280"/>
      <c r="Q9" s="1280"/>
      <c r="R9" s="1280"/>
      <c r="S9" s="1280"/>
      <c r="T9" s="1280"/>
      <c r="U9" s="1280"/>
      <c r="V9" s="9"/>
      <c r="W9" s="9"/>
      <c r="X9" s="162"/>
      <c r="Y9" s="66"/>
      <c r="Z9" s="66"/>
      <c r="AA9" s="66"/>
      <c r="AB9" s="66"/>
      <c r="AC9" s="66"/>
    </row>
    <row r="10" spans="1:29" s="33" customFormat="1" ht="22.5" customHeight="1">
      <c r="A10" s="79"/>
      <c r="B10" s="79"/>
      <c r="C10" s="79"/>
      <c r="D10" s="79"/>
      <c r="E10" s="79"/>
      <c r="F10" s="79"/>
      <c r="G10" s="79"/>
      <c r="H10" s="79"/>
      <c r="L10" s="351"/>
      <c r="M10" s="169" t="s">
        <v>495</v>
      </c>
      <c r="N10" s="174"/>
      <c r="O10" s="1280" t="str">
        <f>IF(TITLE_NUMBER_PR_CHANGE="",IF(TITLE_NUMBER_PR="","",TITLE_NUMBER_PR),TITLE_NUMBER_PR_CHANGE)</f>
        <v/>
      </c>
      <c r="P10" s="1280"/>
      <c r="Q10" s="1280"/>
      <c r="R10" s="1280"/>
      <c r="S10" s="1280"/>
      <c r="T10" s="1280"/>
      <c r="U10" s="1280"/>
      <c r="V10" s="9"/>
      <c r="W10" s="9"/>
      <c r="X10" s="162"/>
      <c r="Y10" s="66"/>
      <c r="Z10" s="66"/>
      <c r="AA10" s="66"/>
      <c r="AB10" s="66"/>
      <c r="AC10" s="66"/>
    </row>
    <row r="11" spans="1:29" s="33" customFormat="1" ht="22.5" customHeight="1">
      <c r="A11" s="79"/>
      <c r="B11" s="79"/>
      <c r="C11" s="79"/>
      <c r="D11" s="79"/>
      <c r="E11" s="79"/>
      <c r="F11" s="79"/>
      <c r="G11" s="79"/>
      <c r="H11" s="79"/>
      <c r="L11" s="351"/>
      <c r="M11" s="169" t="s">
        <v>41</v>
      </c>
      <c r="N11" s="174"/>
      <c r="O11" s="1280" t="str">
        <f>IF(TITLE_IST_PUB_CHANGE="",IF(TITLE_IST_PUB="","",TITLE_IST_PUB),TITLE_IST_PUB_CHANGE)</f>
        <v/>
      </c>
      <c r="P11" s="1280"/>
      <c r="Q11" s="1280"/>
      <c r="R11" s="1280"/>
      <c r="S11" s="1280"/>
      <c r="T11" s="1280"/>
      <c r="U11" s="1280"/>
      <c r="V11" s="9"/>
      <c r="W11" s="9"/>
      <c r="X11" s="162"/>
      <c r="Y11" s="66"/>
      <c r="Z11" s="66"/>
      <c r="AA11" s="66"/>
      <c r="AB11" s="66"/>
      <c r="AC11" s="66"/>
    </row>
    <row r="12" spans="1:29" s="33" customFormat="1" ht="11.25" hidden="1" customHeight="1">
      <c r="A12" s="79"/>
      <c r="B12" s="79"/>
      <c r="C12" s="79"/>
      <c r="D12" s="79"/>
      <c r="E12" s="79"/>
      <c r="F12" s="79"/>
      <c r="G12" s="79"/>
      <c r="H12" s="79"/>
      <c r="L12" s="1362"/>
      <c r="M12" s="1362"/>
      <c r="N12" s="75"/>
      <c r="O12" s="9"/>
      <c r="P12" s="9"/>
      <c r="Q12" s="9"/>
      <c r="R12" s="9"/>
      <c r="S12" s="9"/>
      <c r="T12" s="9"/>
      <c r="U12" s="9"/>
      <c r="V12" s="65" t="s">
        <v>498</v>
      </c>
      <c r="Y12" s="66"/>
      <c r="Z12" s="66"/>
      <c r="AA12" s="66"/>
      <c r="AB12" s="66"/>
      <c r="AC12" s="66"/>
    </row>
    <row r="13" spans="1:29" ht="14.25" customHeight="1">
      <c r="J13" s="27"/>
      <c r="K13" s="27"/>
      <c r="L13" s="764"/>
      <c r="M13" s="8"/>
      <c r="N13" s="736"/>
      <c r="O13" s="1298"/>
      <c r="P13" s="1298"/>
      <c r="Q13" s="1298"/>
      <c r="R13" s="1298"/>
      <c r="S13" s="1298"/>
      <c r="T13" s="1298"/>
      <c r="U13" s="1298"/>
      <c r="V13" s="1298"/>
    </row>
    <row r="14" spans="1:29" ht="14.25" customHeight="1">
      <c r="J14" s="27"/>
      <c r="K14" s="27"/>
      <c r="L14" s="1082" t="s">
        <v>302</v>
      </c>
      <c r="M14" s="1082"/>
      <c r="N14" s="1082"/>
      <c r="O14" s="1082"/>
      <c r="P14" s="1082"/>
      <c r="Q14" s="1082"/>
      <c r="R14" s="1082"/>
      <c r="S14" s="1082"/>
      <c r="T14" s="1082"/>
      <c r="U14" s="1082"/>
      <c r="V14" s="1082"/>
      <c r="W14" s="1082"/>
      <c r="X14" s="1082" t="s">
        <v>303</v>
      </c>
    </row>
    <row r="15" spans="1:29" ht="14.25" customHeight="1">
      <c r="J15" s="27"/>
      <c r="K15" s="27"/>
      <c r="L15" s="1299" t="s">
        <v>88</v>
      </c>
      <c r="M15" s="1176" t="s">
        <v>499</v>
      </c>
      <c r="N15" s="171"/>
      <c r="O15" s="1300" t="s">
        <v>1578</v>
      </c>
      <c r="P15" s="1301"/>
      <c r="Q15" s="1301"/>
      <c r="R15" s="1301"/>
      <c r="S15" s="1301"/>
      <c r="T15" s="1301"/>
      <c r="U15" s="1302"/>
      <c r="V15" s="1303" t="s">
        <v>501</v>
      </c>
      <c r="W15" s="1306" t="s">
        <v>1579</v>
      </c>
      <c r="X15" s="1082"/>
    </row>
    <row r="16" spans="1:29" ht="33.75" customHeight="1">
      <c r="J16" s="27"/>
      <c r="K16" s="27"/>
      <c r="L16" s="1299"/>
      <c r="M16" s="1176"/>
      <c r="N16" s="621"/>
      <c r="O16" s="1145" t="s">
        <v>504</v>
      </c>
      <c r="P16" s="1145" t="s">
        <v>505</v>
      </c>
      <c r="Q16" s="1063" t="s">
        <v>506</v>
      </c>
      <c r="R16" s="1062"/>
      <c r="S16" s="1063" t="s">
        <v>525</v>
      </c>
      <c r="T16" s="1068"/>
      <c r="U16" s="1062"/>
      <c r="V16" s="1304"/>
      <c r="W16" s="1307"/>
      <c r="X16" s="1082"/>
    </row>
    <row r="17" spans="1:29" ht="33.75" customHeight="1">
      <c r="A17" s="79" t="s">
        <v>150</v>
      </c>
      <c r="B17" s="79" t="s">
        <v>151</v>
      </c>
      <c r="C17" s="79" t="s">
        <v>152</v>
      </c>
      <c r="D17" s="79" t="s">
        <v>153</v>
      </c>
      <c r="E17" s="79"/>
      <c r="J17" s="27"/>
      <c r="K17" s="27"/>
      <c r="L17" s="1299"/>
      <c r="M17" s="1176"/>
      <c r="N17" s="172"/>
      <c r="O17" s="1200"/>
      <c r="P17" s="1200"/>
      <c r="Q17" s="37" t="s">
        <v>515</v>
      </c>
      <c r="R17" s="37" t="s">
        <v>516</v>
      </c>
      <c r="S17" s="37" t="s">
        <v>517</v>
      </c>
      <c r="T17" s="1182" t="s">
        <v>518</v>
      </c>
      <c r="U17" s="1195"/>
      <c r="V17" s="1305"/>
      <c r="W17" s="1308"/>
      <c r="X17" s="1082"/>
    </row>
    <row r="18" spans="1:29" s="209" customFormat="1" ht="11.25" customHeight="1">
      <c r="A18" s="79"/>
      <c r="B18" s="79"/>
      <c r="C18" s="79"/>
      <c r="D18" s="79"/>
      <c r="E18" s="79"/>
      <c r="F18" s="519"/>
      <c r="G18" s="519"/>
      <c r="H18" s="519"/>
      <c r="I18" s="738"/>
      <c r="J18" s="739"/>
      <c r="K18" s="747">
        <v>1</v>
      </c>
      <c r="L18" s="766" t="s">
        <v>119</v>
      </c>
      <c r="M18" s="748" t="s">
        <v>103</v>
      </c>
      <c r="N18" s="737" t="str">
        <f ca="1">OFFSET(N18,0,-1)</f>
        <v>2</v>
      </c>
      <c r="O18" s="749">
        <f ca="1">OFFSET(O18,0,-1)+1</f>
        <v>3</v>
      </c>
      <c r="P18" s="749"/>
      <c r="Q18" s="749">
        <f ca="1">OFFSET(Q18,0,-1)+1</f>
        <v>1</v>
      </c>
      <c r="R18" s="749">
        <f ca="1">OFFSET(R18,0,-1)+1</f>
        <v>2</v>
      </c>
      <c r="S18" s="749">
        <f ca="1">OFFSET(S18,0,-1)+1</f>
        <v>3</v>
      </c>
      <c r="T18" s="1297">
        <f ca="1">OFFSET(T18,0,-1)+1</f>
        <v>4</v>
      </c>
      <c r="U18" s="1297"/>
      <c r="V18" s="749">
        <f ca="1">OFFSET(V18,0,-2)+1</f>
        <v>5</v>
      </c>
      <c r="W18" s="737">
        <f ca="1">OFFSET(W18,0,-1)</f>
        <v>5</v>
      </c>
      <c r="X18" s="749">
        <f ca="1">OFFSET(X18,0,-1)+1</f>
        <v>6</v>
      </c>
      <c r="Y18" s="65"/>
      <c r="Z18" s="65"/>
      <c r="AA18" s="65"/>
      <c r="AB18" s="65"/>
      <c r="AC18" s="65"/>
    </row>
    <row r="19" spans="1:29" ht="21" customHeight="1">
      <c r="A19" s="793" t="s">
        <v>184</v>
      </c>
      <c r="B19" s="793" t="s">
        <v>185</v>
      </c>
      <c r="C19" s="793" t="s">
        <v>186</v>
      </c>
      <c r="D19" s="793" t="s">
        <v>187</v>
      </c>
      <c r="E19" s="793"/>
      <c r="F19" s="433"/>
      <c r="G19" s="433"/>
      <c r="H19" s="433"/>
      <c r="J19" s="2"/>
      <c r="K19" s="213"/>
      <c r="L19" s="725">
        <f>INDEX(PT_DIFFERENTIATION_NUM_NTAR,MATCH(A19,PT_DIFFERENTIATION_NTAR_ID,0))</f>
        <v>0</v>
      </c>
      <c r="M19" s="64" t="s">
        <v>139</v>
      </c>
      <c r="N19" s="170"/>
      <c r="O19" s="1357" t="str">
        <f>INDEX(PT_DIFFERENTIATION_NTAR,MATCH(A19,PT_DIFFERENTIATION_NTAR_ID,0))</f>
        <v/>
      </c>
      <c r="P19" s="1357"/>
      <c r="Q19" s="1357"/>
      <c r="R19" s="1357"/>
      <c r="S19" s="1357"/>
      <c r="T19" s="1357"/>
      <c r="U19" s="1357"/>
      <c r="V19" s="1357"/>
      <c r="W19" s="1357"/>
      <c r="X19" s="753" t="s">
        <v>470</v>
      </c>
      <c r="Z19" s="66"/>
      <c r="AA19" s="66" t="str">
        <f t="shared" ref="AA19:AA32" si="0">IF(M19="","",M19)</f>
        <v>Наименование тарифа</v>
      </c>
      <c r="AB19" s="66"/>
      <c r="AC19" s="66"/>
    </row>
    <row r="20" spans="1:29" ht="21" customHeight="1">
      <c r="A20" s="793" t="s">
        <v>184</v>
      </c>
      <c r="B20" s="793" t="s">
        <v>185</v>
      </c>
      <c r="C20" s="793" t="s">
        <v>186</v>
      </c>
      <c r="D20" s="793" t="s">
        <v>187</v>
      </c>
      <c r="E20" s="793"/>
      <c r="F20" s="433"/>
      <c r="G20" s="433"/>
      <c r="H20" s="433"/>
      <c r="I20" s="56"/>
      <c r="J20" s="210"/>
      <c r="K20" s="211"/>
      <c r="L20" s="725" t="str">
        <f>INDEX(PT_DIFFERENTIATION_NUM_TER,MATCH(B19,PT_DIFFERENTIATION_TER_ID,0))</f>
        <v>.</v>
      </c>
      <c r="M20" s="178" t="s">
        <v>471</v>
      </c>
      <c r="N20" s="170"/>
      <c r="O20" s="1357" t="str">
        <f>INDEX(PT_DIFFERENTIATION_TER,MATCH(B19,PT_DIFFERENTIATION_TER_ID,0))</f>
        <v/>
      </c>
      <c r="P20" s="1357"/>
      <c r="Q20" s="1357"/>
      <c r="R20" s="1357"/>
      <c r="S20" s="1357"/>
      <c r="T20" s="1357"/>
      <c r="U20" s="1357"/>
      <c r="V20" s="1357"/>
      <c r="W20" s="1357"/>
      <c r="X20" s="753" t="s">
        <v>472</v>
      </c>
      <c r="Z20" s="66"/>
      <c r="AA20" s="66" t="str">
        <f t="shared" si="0"/>
        <v>Территория действия тарифа</v>
      </c>
      <c r="AB20" s="66"/>
      <c r="AC20" s="66"/>
    </row>
    <row r="21" spans="1:29" ht="22.5" customHeight="1">
      <c r="A21" s="793" t="s">
        <v>184</v>
      </c>
      <c r="B21" s="793" t="s">
        <v>185</v>
      </c>
      <c r="C21" s="793" t="s">
        <v>186</v>
      </c>
      <c r="D21" s="793" t="s">
        <v>187</v>
      </c>
      <c r="E21" s="793"/>
      <c r="F21" s="433"/>
      <c r="G21" s="433"/>
      <c r="H21" s="433"/>
      <c r="I21" s="212"/>
      <c r="J21" s="210"/>
      <c r="K21" s="211"/>
      <c r="L21" s="725" t="str">
        <f>INDEX(PT_DIFFERENTIATION_NUM_CS,MATCH(C19,PT_DIFFERENTIATION_CS_ID,0))</f>
        <v>..</v>
      </c>
      <c r="M21" s="179" t="s">
        <v>473</v>
      </c>
      <c r="N21" s="170"/>
      <c r="O21" s="1357" t="str">
        <f>INDEX(PT_DIFFERENTIATION_CS,MATCH(C19,PT_DIFFERENTIATION_CS_ID,0))</f>
        <v/>
      </c>
      <c r="P21" s="1357"/>
      <c r="Q21" s="1357"/>
      <c r="R21" s="1357"/>
      <c r="S21" s="1357"/>
      <c r="T21" s="1357"/>
      <c r="U21" s="1357"/>
      <c r="V21" s="1357"/>
      <c r="W21" s="1357"/>
      <c r="X21" s="753" t="s">
        <v>474</v>
      </c>
      <c r="Z21" s="66"/>
      <c r="AA21" s="66" t="str">
        <f t="shared" si="0"/>
        <v xml:space="preserve">Наименование системы теплоснабжения </v>
      </c>
      <c r="AB21" s="66"/>
      <c r="AC21" s="66"/>
    </row>
    <row r="22" spans="1:29" ht="21" customHeight="1">
      <c r="A22" s="793" t="s">
        <v>184</v>
      </c>
      <c r="B22" s="793" t="s">
        <v>185</v>
      </c>
      <c r="C22" s="793" t="s">
        <v>186</v>
      </c>
      <c r="D22" s="793" t="s">
        <v>187</v>
      </c>
      <c r="E22" s="793"/>
      <c r="F22" s="433"/>
      <c r="G22" s="433"/>
      <c r="H22" s="433"/>
      <c r="I22" s="212"/>
      <c r="J22" s="210"/>
      <c r="K22" s="211"/>
      <c r="L22" s="725" t="str">
        <f>INDEX(PT_DIFFERENTIATION_NUM_IST_TE,MATCH(D19,PT_DIFFERENTIATION_IST_TE_ID,0))</f>
        <v>...</v>
      </c>
      <c r="M22" s="180" t="s">
        <v>475</v>
      </c>
      <c r="N22" s="170"/>
      <c r="O22" s="1357" t="str">
        <f>INDEX(PT_DIFFERENTIATION_IST_TE,MATCH(D19,PT_DIFFERENTIATION_IST_TE_ID,0))</f>
        <v/>
      </c>
      <c r="P22" s="1357"/>
      <c r="Q22" s="1357"/>
      <c r="R22" s="1357"/>
      <c r="S22" s="1357"/>
      <c r="T22" s="1357"/>
      <c r="U22" s="1357"/>
      <c r="V22" s="1357"/>
      <c r="W22" s="1357"/>
      <c r="X22" s="753" t="s">
        <v>476</v>
      </c>
      <c r="Z22" s="66"/>
      <c r="AA22" s="66" t="str">
        <f t="shared" si="0"/>
        <v xml:space="preserve">Источник тепловой энергии  </v>
      </c>
      <c r="AB22" s="66"/>
      <c r="AC22" s="66"/>
    </row>
    <row r="23" spans="1:29" ht="94.5" customHeight="1">
      <c r="A23" s="793" t="s">
        <v>184</v>
      </c>
      <c r="B23" s="793" t="s">
        <v>185</v>
      </c>
      <c r="C23" s="793" t="s">
        <v>186</v>
      </c>
      <c r="D23" s="793" t="s">
        <v>187</v>
      </c>
      <c r="E23" s="793"/>
      <c r="F23" s="1070" t="str">
        <f>L22&amp;".1"</f>
        <v>....1</v>
      </c>
      <c r="I23" s="1211">
        <v>1</v>
      </c>
      <c r="J23" s="119"/>
      <c r="K23" s="214"/>
      <c r="L23" s="725" t="str">
        <f>$F$23</f>
        <v>....1</v>
      </c>
      <c r="M23" s="163" t="s">
        <v>478</v>
      </c>
      <c r="N23" s="170"/>
      <c r="O23" s="1358"/>
      <c r="P23" s="1358"/>
      <c r="Q23" s="1358"/>
      <c r="R23" s="1358"/>
      <c r="S23" s="1358"/>
      <c r="T23" s="1358"/>
      <c r="U23" s="1358"/>
      <c r="V23" s="1358"/>
      <c r="W23" s="1358"/>
      <c r="X23" s="753" t="s">
        <v>479</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93" t="s">
        <v>184</v>
      </c>
      <c r="B24" s="793" t="s">
        <v>185</v>
      </c>
      <c r="C24" s="793" t="s">
        <v>186</v>
      </c>
      <c r="D24" s="793" t="s">
        <v>187</v>
      </c>
      <c r="E24" s="793"/>
      <c r="F24" s="1070"/>
      <c r="G24" s="1070" t="str">
        <f>F23&amp;".1"</f>
        <v>....1.1</v>
      </c>
      <c r="I24" s="1211"/>
      <c r="J24" s="1211">
        <v>1</v>
      </c>
      <c r="K24" s="215"/>
      <c r="L24" s="725" t="str">
        <f>$G$24</f>
        <v>....1.1</v>
      </c>
      <c r="M24" s="164" t="s">
        <v>481</v>
      </c>
      <c r="N24" s="170"/>
      <c r="O24" s="1359"/>
      <c r="P24" s="1360"/>
      <c r="Q24" s="1360"/>
      <c r="R24" s="1360"/>
      <c r="S24" s="1360"/>
      <c r="T24" s="1360"/>
      <c r="U24" s="1360"/>
      <c r="V24" s="1360"/>
      <c r="W24" s="1361"/>
      <c r="X24" s="753" t="s">
        <v>482</v>
      </c>
      <c r="Z24" s="66"/>
      <c r="AA24" s="66" t="str">
        <f t="shared" si="0"/>
        <v>Группа потребителей</v>
      </c>
      <c r="AB24" s="66"/>
      <c r="AC24" s="66"/>
    </row>
    <row r="25" spans="1:29" ht="11.25" customHeight="1">
      <c r="A25" s="793" t="s">
        <v>184</v>
      </c>
      <c r="B25" s="793" t="s">
        <v>185</v>
      </c>
      <c r="C25" s="793" t="s">
        <v>186</v>
      </c>
      <c r="D25" s="793" t="s">
        <v>187</v>
      </c>
      <c r="E25" s="793"/>
      <c r="F25" s="1070"/>
      <c r="G25" s="1070"/>
      <c r="H25" s="1070" t="str">
        <f>G24&amp;".1"</f>
        <v>....1.1.1</v>
      </c>
      <c r="I25" s="1211"/>
      <c r="J25" s="1211"/>
      <c r="K25" s="215">
        <v>1</v>
      </c>
      <c r="L25" s="725" t="str">
        <f>$H$25</f>
        <v>....1.1.1</v>
      </c>
      <c r="M25" s="754"/>
      <c r="N25" s="170"/>
      <c r="O25" s="317"/>
      <c r="P25" s="196"/>
      <c r="Q25" s="317"/>
      <c r="R25" s="752"/>
      <c r="S25" s="1291"/>
      <c r="T25" s="1092" t="s">
        <v>59</v>
      </c>
      <c r="U25" s="1291"/>
      <c r="V25" s="1092" t="s">
        <v>57</v>
      </c>
      <c r="W25" s="196"/>
      <c r="X25" s="1309" t="s">
        <v>484</v>
      </c>
      <c r="Y25" s="65" t="e">
        <f ca="1">STRCHECKDATE(O26:W26)</f>
        <v>#NAME?</v>
      </c>
      <c r="Z25" s="66"/>
      <c r="AA25" s="66" t="str">
        <f t="shared" si="0"/>
        <v/>
      </c>
      <c r="AB25" s="66"/>
      <c r="AC25" s="66"/>
    </row>
    <row r="26" spans="1:29" ht="11.25" customHeight="1">
      <c r="A26" s="793" t="s">
        <v>184</v>
      </c>
      <c r="B26" s="793" t="s">
        <v>185</v>
      </c>
      <c r="C26" s="793" t="s">
        <v>186</v>
      </c>
      <c r="D26" s="793" t="s">
        <v>187</v>
      </c>
      <c r="E26" s="793"/>
      <c r="F26" s="1070"/>
      <c r="G26" s="1070"/>
      <c r="H26" s="1070"/>
      <c r="I26" s="1211"/>
      <c r="J26" s="1211"/>
      <c r="K26" s="215"/>
      <c r="L26" s="62"/>
      <c r="M26" s="170"/>
      <c r="N26" s="170"/>
      <c r="O26" s="196"/>
      <c r="P26" s="196"/>
      <c r="Q26" s="196"/>
      <c r="R26" s="198" t="str">
        <f>S25&amp;"-"&amp;U25</f>
        <v>-</v>
      </c>
      <c r="S26" s="1292"/>
      <c r="T26" s="1092"/>
      <c r="U26" s="1292"/>
      <c r="V26" s="1092"/>
      <c r="W26" s="196"/>
      <c r="X26" s="1310"/>
      <c r="Z26" s="66"/>
      <c r="AA26" s="66" t="str">
        <f t="shared" si="0"/>
        <v/>
      </c>
      <c r="AB26" s="66"/>
      <c r="AC26" s="66"/>
    </row>
    <row r="27" spans="1:29" ht="15" customHeight="1">
      <c r="A27" s="793" t="s">
        <v>184</v>
      </c>
      <c r="B27" s="793" t="s">
        <v>185</v>
      </c>
      <c r="C27" s="793" t="s">
        <v>186</v>
      </c>
      <c r="D27" s="793" t="s">
        <v>187</v>
      </c>
      <c r="E27" s="793"/>
      <c r="F27" s="1070"/>
      <c r="G27" s="1070"/>
      <c r="I27" s="1211"/>
      <c r="J27" s="1211"/>
      <c r="K27" s="214"/>
      <c r="L27" s="767"/>
      <c r="M27" s="166" t="s">
        <v>485</v>
      </c>
      <c r="N27" s="221"/>
      <c r="O27" s="221"/>
      <c r="P27" s="221"/>
      <c r="Q27" s="221"/>
      <c r="R27" s="221"/>
      <c r="S27" s="221"/>
      <c r="T27" s="221"/>
      <c r="U27" s="221"/>
      <c r="V27" s="221"/>
      <c r="W27" s="195"/>
      <c r="X27" s="1311"/>
      <c r="Z27" s="66"/>
      <c r="AA27" s="66" t="str">
        <f t="shared" si="0"/>
        <v>Добавить вид теплоносителя (параметры теплоносителя)</v>
      </c>
      <c r="AB27" s="66"/>
      <c r="AC27" s="66"/>
    </row>
    <row r="28" spans="1:29" ht="15" customHeight="1">
      <c r="A28" s="793" t="s">
        <v>184</v>
      </c>
      <c r="B28" s="793" t="s">
        <v>185</v>
      </c>
      <c r="C28" s="793" t="s">
        <v>186</v>
      </c>
      <c r="D28" s="793" t="s">
        <v>187</v>
      </c>
      <c r="E28" s="793"/>
      <c r="F28" s="1070"/>
      <c r="I28" s="1211"/>
      <c r="J28" s="119"/>
      <c r="K28" s="214"/>
      <c r="L28" s="767"/>
      <c r="M28" s="165" t="s">
        <v>486</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93" t="s">
        <v>184</v>
      </c>
      <c r="B29" s="793" t="s">
        <v>185</v>
      </c>
      <c r="C29" s="793" t="s">
        <v>186</v>
      </c>
      <c r="D29" s="793" t="s">
        <v>187</v>
      </c>
      <c r="E29" s="793"/>
      <c r="F29" s="433"/>
      <c r="G29" s="433"/>
      <c r="H29" s="60"/>
      <c r="I29" s="2"/>
      <c r="J29" s="224"/>
      <c r="K29" s="213"/>
      <c r="L29" s="767"/>
      <c r="M29" s="219" t="s">
        <v>487</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93" t="s">
        <v>184</v>
      </c>
      <c r="B30" s="793" t="s">
        <v>185</v>
      </c>
      <c r="C30" s="793" t="s">
        <v>186</v>
      </c>
      <c r="D30" s="793"/>
      <c r="E30" s="793" t="s">
        <v>1580</v>
      </c>
      <c r="F30" s="433"/>
      <c r="G30" s="433"/>
      <c r="H30" s="60"/>
      <c r="I30" s="2"/>
      <c r="J30" s="224"/>
      <c r="K30" s="213"/>
      <c r="L30" s="768"/>
      <c r="M30" s="757"/>
      <c r="N30" s="758"/>
      <c r="O30" s="758"/>
      <c r="P30" s="758"/>
      <c r="Q30" s="758"/>
      <c r="R30" s="758"/>
      <c r="S30" s="758"/>
      <c r="T30" s="758"/>
      <c r="U30" s="758"/>
      <c r="V30" s="759"/>
      <c r="W30" s="758"/>
      <c r="X30" s="760"/>
      <c r="Z30" s="66"/>
      <c r="AA30" s="66" t="str">
        <f t="shared" si="0"/>
        <v/>
      </c>
      <c r="AB30" s="66"/>
      <c r="AC30" s="66"/>
    </row>
    <row r="31" spans="1:29" ht="14.25" customHeight="1">
      <c r="A31" s="793" t="s">
        <v>184</v>
      </c>
      <c r="B31" s="793" t="s">
        <v>185</v>
      </c>
      <c r="C31" s="793"/>
      <c r="D31" s="793"/>
      <c r="E31" s="793" t="s">
        <v>1581</v>
      </c>
      <c r="F31" s="854"/>
      <c r="G31" s="854"/>
      <c r="H31" s="60"/>
      <c r="I31" s="44"/>
      <c r="J31" s="224"/>
      <c r="K31" s="216"/>
      <c r="L31" s="768"/>
      <c r="M31" s="761"/>
      <c r="N31" s="758"/>
      <c r="O31" s="758"/>
      <c r="P31" s="758"/>
      <c r="Q31" s="758"/>
      <c r="R31" s="758"/>
      <c r="S31" s="758"/>
      <c r="T31" s="758"/>
      <c r="U31" s="758"/>
      <c r="V31" s="759"/>
      <c r="W31" s="758"/>
      <c r="X31" s="760"/>
      <c r="Z31" s="66"/>
      <c r="AA31" s="66" t="str">
        <f t="shared" si="0"/>
        <v/>
      </c>
      <c r="AB31" s="66"/>
      <c r="AC31" s="66"/>
    </row>
    <row r="32" spans="1:29" ht="14.25" customHeight="1">
      <c r="A32" s="793" t="s">
        <v>1582</v>
      </c>
      <c r="B32" s="793"/>
      <c r="C32" s="793"/>
      <c r="D32" s="793"/>
      <c r="E32" s="793" t="s">
        <v>114</v>
      </c>
      <c r="F32" s="854"/>
      <c r="G32" s="854"/>
      <c r="H32" s="60"/>
      <c r="I32" s="2"/>
      <c r="J32" s="224"/>
      <c r="K32" s="213"/>
      <c r="L32" s="768"/>
      <c r="M32" s="762"/>
      <c r="N32" s="758"/>
      <c r="O32" s="758"/>
      <c r="P32" s="758"/>
      <c r="Q32" s="758"/>
      <c r="R32" s="758"/>
      <c r="S32" s="758"/>
      <c r="T32" s="758"/>
      <c r="U32" s="758"/>
      <c r="V32" s="759"/>
      <c r="W32" s="758"/>
      <c r="X32" s="760"/>
      <c r="Z32" s="66"/>
      <c r="AA32" s="66" t="str">
        <f t="shared" si="0"/>
        <v/>
      </c>
      <c r="AB32" s="66"/>
      <c r="AC32" s="66"/>
    </row>
    <row r="33" spans="1:29" ht="11.25" customHeight="1">
      <c r="A33" s="793"/>
      <c r="B33" s="793"/>
      <c r="C33" s="793"/>
      <c r="D33" s="793"/>
      <c r="E33" s="793" t="s">
        <v>447</v>
      </c>
      <c r="F33" s="854"/>
      <c r="G33" s="858"/>
      <c r="H33" s="60"/>
      <c r="I33"/>
      <c r="J33"/>
      <c r="K33"/>
      <c r="L33" s="769"/>
      <c r="M33" s="763"/>
      <c r="N33" s="758"/>
      <c r="O33" s="758"/>
      <c r="P33" s="758"/>
      <c r="Q33" s="758"/>
      <c r="R33" s="758"/>
      <c r="S33" s="758"/>
      <c r="T33" s="758"/>
      <c r="U33" s="758"/>
      <c r="V33" s="759"/>
      <c r="W33" s="758"/>
      <c r="X33" s="760"/>
      <c r="Y33" s="101"/>
      <c r="Z33" s="101"/>
      <c r="AA33" s="101"/>
      <c r="AB33" s="101"/>
      <c r="AC33" s="101"/>
    </row>
    <row r="34" spans="1:29" ht="11.25" customHeight="1">
      <c r="F34" s="60"/>
      <c r="G34" s="60"/>
      <c r="H34" s="60"/>
      <c r="I34" s="9"/>
      <c r="J34" s="9"/>
      <c r="K34" s="9"/>
      <c r="Y34" s="9"/>
      <c r="Z34" s="9"/>
      <c r="AA34" s="9"/>
      <c r="AB34" s="9"/>
      <c r="AC34" s="9"/>
    </row>
    <row r="35" spans="1:29" ht="27" customHeight="1">
      <c r="H35" s="60"/>
      <c r="L35" s="381" t="s">
        <v>519</v>
      </c>
      <c r="M35" s="1286" t="s">
        <v>526</v>
      </c>
      <c r="N35" s="1286"/>
      <c r="O35" s="1286"/>
      <c r="P35" s="1286"/>
      <c r="Q35" s="1286"/>
      <c r="R35" s="1286"/>
      <c r="S35" s="1286"/>
      <c r="T35" s="1286"/>
      <c r="U35" s="1286"/>
      <c r="V35" s="1286"/>
      <c r="W35" s="1286"/>
      <c r="X35" s="1286"/>
    </row>
    <row r="36" spans="1:29" ht="104.25" customHeight="1">
      <c r="H36" s="60"/>
      <c r="M36" s="1286" t="s">
        <v>521</v>
      </c>
      <c r="N36" s="1286"/>
      <c r="O36" s="1286"/>
      <c r="P36" s="1286"/>
      <c r="Q36" s="1286"/>
      <c r="R36" s="1286"/>
      <c r="S36" s="1286"/>
      <c r="T36" s="1286"/>
      <c r="U36" s="1286"/>
      <c r="V36" s="1286"/>
      <c r="W36" s="1286"/>
      <c r="X36" s="1286"/>
    </row>
    <row r="37" spans="1:29" ht="14.25" customHeight="1">
      <c r="H37" s="60"/>
    </row>
    <row r="38" spans="1:29" ht="14.25" customHeight="1">
      <c r="H38" s="60"/>
    </row>
    <row r="39" spans="1:29" ht="14.25" customHeight="1">
      <c r="H39" s="60"/>
    </row>
    <row r="40" spans="1:29" ht="14.25" customHeight="1">
      <c r="H40" s="60"/>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1700-000000000000}"/>
    <dataValidation allowBlank="1" promptTitle="checkPeriodRange" sqref="R26 R65562 R131098 R196634 R262170 R327706 R393242 R458778 R524314 R589850 R655386 R720922 R786458 R851994 R917530 R983066" xr:uid="{00000000-0002-0000-17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17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17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17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17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17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FA6E3-E253-03F3-C88B-05259985831D}">
  <sheetPr>
    <tabColor theme="6" tint="0.39997558519241921"/>
  </sheetPr>
  <dimension ref="A1:AC40"/>
  <sheetViews>
    <sheetView showGridLines="0" topLeftCell="A4" workbookViewId="0"/>
  </sheetViews>
  <sheetFormatPr defaultColWidth="10.5703125" defaultRowHeight="14.25" customHeight="1"/>
  <cols>
    <col min="1" max="1" width="11.5703125" style="9" customWidth="1"/>
    <col min="2" max="2" width="10.7109375" style="9" customWidth="1"/>
    <col min="3" max="3" width="10" style="9" customWidth="1"/>
    <col min="4" max="4" width="12.85546875" style="9" customWidth="1"/>
    <col min="5" max="5" width="12.28515625" style="9" customWidth="1"/>
    <col min="6" max="8" width="12.28515625" style="32"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4"/>
      <c r="M4" s="8"/>
      <c r="N4" s="8"/>
    </row>
    <row r="5" spans="6:29" ht="64.5" customHeight="1">
      <c r="J5" s="27"/>
      <c r="K5" s="27"/>
      <c r="L5" s="1144" t="s">
        <v>1577</v>
      </c>
      <c r="M5" s="1144"/>
      <c r="N5" s="1144"/>
      <c r="O5" s="1144"/>
      <c r="P5" s="1144"/>
      <c r="Q5" s="1144"/>
      <c r="R5" s="1144"/>
      <c r="S5" s="1144"/>
      <c r="T5" s="1144"/>
      <c r="U5" s="1144"/>
      <c r="V5" s="57"/>
    </row>
    <row r="6" spans="6:29" ht="14.25" customHeight="1">
      <c r="J6" s="27"/>
      <c r="K6" s="27"/>
      <c r="L6" s="1167" t="str">
        <f>IF(org=0,"Не определено",org)</f>
        <v>ООО "Концессионная Коммунальная Компания"</v>
      </c>
      <c r="M6" s="1167"/>
      <c r="N6" s="1167"/>
      <c r="O6" s="1167"/>
      <c r="P6" s="1167"/>
      <c r="Q6" s="1167"/>
      <c r="R6" s="1167"/>
      <c r="S6" s="1167"/>
      <c r="T6" s="1167"/>
      <c r="U6" s="1167"/>
      <c r="V6" s="57"/>
    </row>
    <row r="7" spans="6:29" ht="14.25" customHeight="1">
      <c r="J7" s="27"/>
      <c r="K7" s="27"/>
      <c r="L7" s="764"/>
      <c r="M7" s="8"/>
      <c r="N7" s="8"/>
      <c r="O7" s="193"/>
      <c r="P7" s="193"/>
      <c r="Q7" s="193"/>
      <c r="R7" s="193"/>
      <c r="S7" s="193"/>
      <c r="T7" s="193"/>
      <c r="U7" s="193"/>
      <c r="V7" s="193"/>
    </row>
    <row r="8" spans="6:29" s="33" customFormat="1" ht="45" customHeight="1">
      <c r="F8" s="15"/>
      <c r="G8" s="15"/>
      <c r="H8" s="15"/>
      <c r="L8" s="765"/>
      <c r="M8" s="169" t="s">
        <v>40</v>
      </c>
      <c r="N8" s="174"/>
      <c r="O8" s="1280" t="str">
        <f>IF(TITLE_NAME_OR_PR_CHANGE="",IF(TITLE_NAME_OR_PR="","",TITLE_NAME_OR_PR),TITLE_NAME_OR_PR_CHANGE)</f>
        <v/>
      </c>
      <c r="P8" s="1280"/>
      <c r="Q8" s="1280"/>
      <c r="R8" s="1280"/>
      <c r="S8" s="1280"/>
      <c r="T8" s="1280"/>
      <c r="U8" s="1280"/>
      <c r="V8" s="9"/>
      <c r="W8" s="9"/>
      <c r="X8" s="162"/>
      <c r="Y8" s="66"/>
      <c r="Z8" s="66"/>
      <c r="AA8" s="66"/>
      <c r="AB8" s="66"/>
      <c r="AC8" s="66"/>
    </row>
    <row r="9" spans="6:29" s="33" customFormat="1" ht="22.5" customHeight="1">
      <c r="F9" s="15"/>
      <c r="G9" s="15"/>
      <c r="H9" s="15"/>
      <c r="L9" s="765"/>
      <c r="M9" s="169" t="s">
        <v>494</v>
      </c>
      <c r="N9" s="174"/>
      <c r="O9" s="1280" t="str">
        <f>IF(TITLE_DATE_CHANGE_PERIOD="",IF(TITLE_DATE_PR="","",TITLE_DATE_PR),TITLE_DATE_CHANGE_PERIOD)</f>
        <v/>
      </c>
      <c r="P9" s="1280"/>
      <c r="Q9" s="1280"/>
      <c r="R9" s="1280"/>
      <c r="S9" s="1280"/>
      <c r="T9" s="1280"/>
      <c r="U9" s="1280"/>
      <c r="V9" s="9"/>
      <c r="W9" s="9"/>
      <c r="X9" s="162"/>
      <c r="Y9" s="66"/>
      <c r="Z9" s="66"/>
      <c r="AA9" s="66"/>
      <c r="AB9" s="66"/>
      <c r="AC9" s="66"/>
    </row>
    <row r="10" spans="6:29" s="33" customFormat="1" ht="22.5" customHeight="1">
      <c r="F10" s="15"/>
      <c r="G10" s="15"/>
      <c r="H10" s="15"/>
      <c r="L10" s="351"/>
      <c r="M10" s="169" t="s">
        <v>495</v>
      </c>
      <c r="N10" s="174"/>
      <c r="O10" s="1280" t="str">
        <f>IF(TITLE_NUMBER_PR_CHANGE="",IF(TITLE_NUMBER_PR="","",TITLE_NUMBER_PR),TITLE_NUMBER_PR_CHANGE)</f>
        <v/>
      </c>
      <c r="P10" s="1280"/>
      <c r="Q10" s="1280"/>
      <c r="R10" s="1280"/>
      <c r="S10" s="1280"/>
      <c r="T10" s="1280"/>
      <c r="U10" s="1280"/>
      <c r="V10" s="9"/>
      <c r="W10" s="9"/>
      <c r="X10" s="162"/>
      <c r="Y10" s="66"/>
      <c r="Z10" s="66"/>
      <c r="AA10" s="66"/>
      <c r="AB10" s="66"/>
      <c r="AC10" s="66"/>
    </row>
    <row r="11" spans="6:29" s="33" customFormat="1" ht="22.5" customHeight="1">
      <c r="F11" s="15"/>
      <c r="G11" s="15"/>
      <c r="H11" s="15"/>
      <c r="L11" s="351"/>
      <c r="M11" s="169" t="s">
        <v>41</v>
      </c>
      <c r="N11" s="174"/>
      <c r="O11" s="1280" t="str">
        <f>IF(TITLE_IST_PUB_CHANGE="",IF(TITLE_IST_PUB="","",TITLE_IST_PUB),TITLE_IST_PUB_CHANGE)</f>
        <v/>
      </c>
      <c r="P11" s="1280"/>
      <c r="Q11" s="1280"/>
      <c r="R11" s="1280"/>
      <c r="S11" s="1280"/>
      <c r="T11" s="1280"/>
      <c r="U11" s="1280"/>
      <c r="V11" s="9"/>
      <c r="W11" s="9"/>
      <c r="X11" s="162"/>
      <c r="Y11" s="66"/>
      <c r="Z11" s="66"/>
      <c r="AA11" s="66"/>
      <c r="AB11" s="66"/>
      <c r="AC11" s="66"/>
    </row>
    <row r="12" spans="6:29" s="33" customFormat="1" ht="11.25" hidden="1" customHeight="1">
      <c r="F12" s="15"/>
      <c r="G12" s="15"/>
      <c r="H12" s="15"/>
      <c r="L12" s="1362"/>
      <c r="M12" s="1362"/>
      <c r="N12" s="75"/>
      <c r="O12" s="9"/>
      <c r="P12" s="9"/>
      <c r="Q12" s="9"/>
      <c r="R12" s="9"/>
      <c r="S12" s="9"/>
      <c r="T12" s="9"/>
      <c r="U12" s="9"/>
      <c r="V12" s="65" t="s">
        <v>498</v>
      </c>
      <c r="Y12" s="66"/>
      <c r="Z12" s="66"/>
      <c r="AA12" s="66"/>
      <c r="AB12" s="66"/>
      <c r="AC12" s="66"/>
    </row>
    <row r="13" spans="6:29" ht="14.25" customHeight="1">
      <c r="J13" s="27"/>
      <c r="K13" s="27"/>
      <c r="L13" s="764"/>
      <c r="M13" s="8"/>
      <c r="N13" s="736"/>
      <c r="O13" s="1298"/>
      <c r="P13" s="1298"/>
      <c r="Q13" s="1298"/>
      <c r="R13" s="1298"/>
      <c r="S13" s="1298"/>
      <c r="T13" s="1298"/>
      <c r="U13" s="1298"/>
      <c r="V13" s="1298"/>
    </row>
    <row r="14" spans="6:29" ht="14.25" customHeight="1">
      <c r="J14" s="27"/>
      <c r="K14" s="27"/>
      <c r="L14" s="1082" t="s">
        <v>302</v>
      </c>
      <c r="M14" s="1082"/>
      <c r="N14" s="1082"/>
      <c r="O14" s="1082"/>
      <c r="P14" s="1082"/>
      <c r="Q14" s="1082"/>
      <c r="R14" s="1082"/>
      <c r="S14" s="1082"/>
      <c r="T14" s="1082"/>
      <c r="U14" s="1082"/>
      <c r="V14" s="1082"/>
      <c r="W14" s="1082"/>
      <c r="X14" s="1082" t="s">
        <v>303</v>
      </c>
    </row>
    <row r="15" spans="6:29" ht="14.25" customHeight="1">
      <c r="J15" s="27"/>
      <c r="K15" s="27"/>
      <c r="L15" s="1299" t="s">
        <v>88</v>
      </c>
      <c r="M15" s="1176" t="s">
        <v>499</v>
      </c>
      <c r="N15" s="171"/>
      <c r="O15" s="1300" t="s">
        <v>1578</v>
      </c>
      <c r="P15" s="1301"/>
      <c r="Q15" s="1301"/>
      <c r="R15" s="1301"/>
      <c r="S15" s="1301"/>
      <c r="T15" s="1301"/>
      <c r="U15" s="1302"/>
      <c r="V15" s="1303" t="s">
        <v>501</v>
      </c>
      <c r="W15" s="1306" t="s">
        <v>1579</v>
      </c>
      <c r="X15" s="1082"/>
    </row>
    <row r="16" spans="6:29" ht="33.75" customHeight="1">
      <c r="J16" s="27"/>
      <c r="K16" s="27"/>
      <c r="L16" s="1299"/>
      <c r="M16" s="1176"/>
      <c r="N16" s="621"/>
      <c r="O16" s="1145" t="s">
        <v>504</v>
      </c>
      <c r="P16" s="1145" t="s">
        <v>505</v>
      </c>
      <c r="Q16" s="1063" t="s">
        <v>506</v>
      </c>
      <c r="R16" s="1062"/>
      <c r="S16" s="1063" t="s">
        <v>525</v>
      </c>
      <c r="T16" s="1068"/>
      <c r="U16" s="1062"/>
      <c r="V16" s="1304"/>
      <c r="W16" s="1307"/>
      <c r="X16" s="1082"/>
    </row>
    <row r="17" spans="1:29" ht="33.75" customHeight="1">
      <c r="A17" s="15" t="s">
        <v>150</v>
      </c>
      <c r="B17" s="15" t="s">
        <v>151</v>
      </c>
      <c r="C17" s="15" t="s">
        <v>152</v>
      </c>
      <c r="D17" s="15" t="s">
        <v>153</v>
      </c>
      <c r="E17" s="15"/>
      <c r="J17" s="27"/>
      <c r="K17" s="27"/>
      <c r="L17" s="1299"/>
      <c r="M17" s="1176"/>
      <c r="N17" s="172"/>
      <c r="O17" s="1200"/>
      <c r="P17" s="1200"/>
      <c r="Q17" s="37" t="s">
        <v>515</v>
      </c>
      <c r="R17" s="37" t="s">
        <v>516</v>
      </c>
      <c r="S17" s="37" t="s">
        <v>517</v>
      </c>
      <c r="T17" s="1182" t="s">
        <v>518</v>
      </c>
      <c r="U17" s="1195"/>
      <c r="V17" s="1305"/>
      <c r="W17" s="1308"/>
      <c r="X17" s="1082"/>
    </row>
    <row r="18" spans="1:29" s="209" customFormat="1" ht="11.25" customHeight="1">
      <c r="A18" s="15"/>
      <c r="B18" s="15"/>
      <c r="C18" s="15"/>
      <c r="D18" s="15"/>
      <c r="E18" s="15"/>
      <c r="F18" s="32"/>
      <c r="G18" s="32"/>
      <c r="H18" s="32"/>
      <c r="I18" s="738"/>
      <c r="J18" s="739"/>
      <c r="K18" s="747">
        <v>1</v>
      </c>
      <c r="L18" s="766" t="s">
        <v>119</v>
      </c>
      <c r="M18" s="748" t="s">
        <v>103</v>
      </c>
      <c r="N18" s="737" t="str">
        <f ca="1">OFFSET(N18,0,-1)</f>
        <v>2</v>
      </c>
      <c r="O18" s="749">
        <f ca="1">OFFSET(O18,0,-1)+1</f>
        <v>3</v>
      </c>
      <c r="P18" s="749"/>
      <c r="Q18" s="749">
        <f ca="1">OFFSET(Q18,0,-1)+1</f>
        <v>1</v>
      </c>
      <c r="R18" s="749">
        <f ca="1">OFFSET(R18,0,-1)+1</f>
        <v>2</v>
      </c>
      <c r="S18" s="749">
        <f ca="1">OFFSET(S18,0,-1)+1</f>
        <v>3</v>
      </c>
      <c r="T18" s="1297">
        <f ca="1">OFFSET(T18,0,-1)+1</f>
        <v>4</v>
      </c>
      <c r="U18" s="1297"/>
      <c r="V18" s="749">
        <f ca="1">OFFSET(V18,0,-2)+1</f>
        <v>5</v>
      </c>
      <c r="W18" s="737">
        <f ca="1">OFFSET(W18,0,-1)</f>
        <v>5</v>
      </c>
      <c r="X18" s="749">
        <f ca="1">OFFSET(X18,0,-1)+1</f>
        <v>6</v>
      </c>
      <c r="Y18" s="65"/>
      <c r="Z18" s="65"/>
      <c r="AA18" s="65"/>
      <c r="AB18" s="65"/>
      <c r="AC18" s="65"/>
    </row>
    <row r="19" spans="1:29" ht="21" customHeight="1">
      <c r="A19" s="756" t="s">
        <v>1583</v>
      </c>
      <c r="B19" s="756" t="s">
        <v>1584</v>
      </c>
      <c r="C19" s="756" t="s">
        <v>1585</v>
      </c>
      <c r="D19" s="756" t="s">
        <v>1586</v>
      </c>
      <c r="E19" s="756"/>
      <c r="F19" s="351"/>
      <c r="G19" s="351"/>
      <c r="H19" s="351"/>
      <c r="J19" s="2"/>
      <c r="K19" s="213"/>
      <c r="L19" s="725" t="e">
        <f>INDEX(PT_DIFFERENTIATION_NUM_NTAR,MATCH(A19,PT_DIFFERENTIATION_NTAR_ID,0))</f>
        <v>#N/A</v>
      </c>
      <c r="M19" s="64" t="s">
        <v>139</v>
      </c>
      <c r="N19" s="170"/>
      <c r="O19" s="1357" t="e">
        <f>INDEX(PT_DIFFERENTIATION_NTAR,MATCH(A19,PT_DIFFERENTIATION_NTAR_ID,0))</f>
        <v>#N/A</v>
      </c>
      <c r="P19" s="1357"/>
      <c r="Q19" s="1357"/>
      <c r="R19" s="1357"/>
      <c r="S19" s="1357"/>
      <c r="T19" s="1357"/>
      <c r="U19" s="1357"/>
      <c r="V19" s="1357"/>
      <c r="W19" s="1357"/>
      <c r="X19" s="753" t="s">
        <v>470</v>
      </c>
      <c r="Z19" s="66"/>
      <c r="AA19" s="66" t="str">
        <f t="shared" ref="AA19:AA32" si="0">IF(M19="","",M19)</f>
        <v>Наименование тарифа</v>
      </c>
      <c r="AB19" s="66"/>
      <c r="AC19" s="66"/>
    </row>
    <row r="20" spans="1:29" ht="21" customHeight="1">
      <c r="A20" s="756" t="s">
        <v>1583</v>
      </c>
      <c r="B20" s="756" t="s">
        <v>1584</v>
      </c>
      <c r="C20" s="756" t="s">
        <v>1585</v>
      </c>
      <c r="D20" s="756" t="s">
        <v>1586</v>
      </c>
      <c r="E20" s="756"/>
      <c r="F20" s="351"/>
      <c r="G20" s="351"/>
      <c r="H20" s="351"/>
      <c r="I20" s="56"/>
      <c r="J20" s="210"/>
      <c r="K20" s="211"/>
      <c r="L20" s="725" t="e">
        <f>INDEX(PT_DIFFERENTIATION_NUM_TER,MATCH(B19,PT_DIFFERENTIATION_TER_ID,0))</f>
        <v>#N/A</v>
      </c>
      <c r="M20" s="178" t="s">
        <v>471</v>
      </c>
      <c r="N20" s="170"/>
      <c r="O20" s="1357" t="e">
        <f>INDEX(PT_DIFFERENTIATION_TER,MATCH(B19,PT_DIFFERENTIATION_TER_ID,0))</f>
        <v>#N/A</v>
      </c>
      <c r="P20" s="1357"/>
      <c r="Q20" s="1357"/>
      <c r="R20" s="1357"/>
      <c r="S20" s="1357"/>
      <c r="T20" s="1357"/>
      <c r="U20" s="1357"/>
      <c r="V20" s="1357"/>
      <c r="W20" s="1357"/>
      <c r="X20" s="753" t="s">
        <v>472</v>
      </c>
      <c r="Z20" s="66"/>
      <c r="AA20" s="66" t="str">
        <f t="shared" si="0"/>
        <v>Территория действия тарифа</v>
      </c>
      <c r="AB20" s="66"/>
      <c r="AC20" s="66"/>
    </row>
    <row r="21" spans="1:29" ht="22.5" customHeight="1">
      <c r="A21" s="756" t="s">
        <v>1583</v>
      </c>
      <c r="B21" s="756" t="s">
        <v>1584</v>
      </c>
      <c r="C21" s="756" t="s">
        <v>1585</v>
      </c>
      <c r="D21" s="756" t="s">
        <v>1586</v>
      </c>
      <c r="E21" s="756"/>
      <c r="F21" s="351"/>
      <c r="G21" s="351"/>
      <c r="H21" s="351"/>
      <c r="I21" s="212"/>
      <c r="J21" s="210"/>
      <c r="K21" s="211"/>
      <c r="L21" s="725" t="e">
        <f>INDEX(PT_DIFFERENTIATION_NUM_CS,MATCH(C19,PT_DIFFERENTIATION_CS_ID,0))</f>
        <v>#N/A</v>
      </c>
      <c r="M21" s="179" t="s">
        <v>473</v>
      </c>
      <c r="N21" s="170"/>
      <c r="O21" s="1357" t="e">
        <f>INDEX(PT_DIFFERENTIATION_CS,MATCH(C19,PT_DIFFERENTIATION_CS_ID,0))</f>
        <v>#N/A</v>
      </c>
      <c r="P21" s="1357"/>
      <c r="Q21" s="1357"/>
      <c r="R21" s="1357"/>
      <c r="S21" s="1357"/>
      <c r="T21" s="1357"/>
      <c r="U21" s="1357"/>
      <c r="V21" s="1357"/>
      <c r="W21" s="1357"/>
      <c r="X21" s="753" t="s">
        <v>474</v>
      </c>
      <c r="Z21" s="66"/>
      <c r="AA21" s="66" t="str">
        <f t="shared" si="0"/>
        <v xml:space="preserve">Наименование системы теплоснабжения </v>
      </c>
      <c r="AB21" s="66"/>
      <c r="AC21" s="66"/>
    </row>
    <row r="22" spans="1:29" ht="21" customHeight="1">
      <c r="A22" s="756" t="s">
        <v>1583</v>
      </c>
      <c r="B22" s="756" t="s">
        <v>1584</v>
      </c>
      <c r="C22" s="756" t="s">
        <v>1585</v>
      </c>
      <c r="D22" s="756" t="s">
        <v>1586</v>
      </c>
      <c r="E22" s="756"/>
      <c r="F22" s="351"/>
      <c r="G22" s="351"/>
      <c r="H22" s="351"/>
      <c r="I22" s="212"/>
      <c r="J22" s="210"/>
      <c r="K22" s="211"/>
      <c r="L22" s="725" t="e">
        <f>INDEX(PT_DIFFERENTIATION_NUM_IST_TE,MATCH(D19,PT_DIFFERENTIATION_IST_TE_ID,0))</f>
        <v>#N/A</v>
      </c>
      <c r="M22" s="180" t="s">
        <v>475</v>
      </c>
      <c r="N22" s="170"/>
      <c r="O22" s="1357" t="e">
        <f>INDEX(PT_DIFFERENTIATION_IST_TE,MATCH(D19,PT_DIFFERENTIATION_IST_TE_ID,0))</f>
        <v>#N/A</v>
      </c>
      <c r="P22" s="1357"/>
      <c r="Q22" s="1357"/>
      <c r="R22" s="1357"/>
      <c r="S22" s="1357"/>
      <c r="T22" s="1357"/>
      <c r="U22" s="1357"/>
      <c r="V22" s="1357"/>
      <c r="W22" s="1357"/>
      <c r="X22" s="753" t="s">
        <v>476</v>
      </c>
      <c r="Z22" s="66"/>
      <c r="AA22" s="66" t="str">
        <f t="shared" si="0"/>
        <v xml:space="preserve">Источник тепловой энергии  </v>
      </c>
      <c r="AB22" s="66"/>
      <c r="AC22" s="66"/>
    </row>
    <row r="23" spans="1:29" ht="94.5" customHeight="1">
      <c r="A23" s="756" t="s">
        <v>1583</v>
      </c>
      <c r="B23" s="756" t="s">
        <v>1584</v>
      </c>
      <c r="C23" s="756" t="s">
        <v>1585</v>
      </c>
      <c r="D23" s="756" t="s">
        <v>1586</v>
      </c>
      <c r="E23" s="756"/>
      <c r="F23" s="1066" t="e">
        <f>L22&amp;".1"</f>
        <v>#N/A</v>
      </c>
      <c r="I23" s="1211">
        <v>1</v>
      </c>
      <c r="J23" s="119"/>
      <c r="K23" s="214"/>
      <c r="L23" s="725" t="e">
        <f>$F$23</f>
        <v>#N/A</v>
      </c>
      <c r="M23" s="163" t="s">
        <v>478</v>
      </c>
      <c r="N23" s="170"/>
      <c r="O23" s="1358"/>
      <c r="P23" s="1358"/>
      <c r="Q23" s="1358"/>
      <c r="R23" s="1358"/>
      <c r="S23" s="1358"/>
      <c r="T23" s="1358"/>
      <c r="U23" s="1358"/>
      <c r="V23" s="1358"/>
      <c r="W23" s="1358"/>
      <c r="X23" s="753" t="s">
        <v>479</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6" t="s">
        <v>1583</v>
      </c>
      <c r="B24" s="756" t="s">
        <v>1584</v>
      </c>
      <c r="C24" s="756" t="s">
        <v>1585</v>
      </c>
      <c r="D24" s="756" t="s">
        <v>1586</v>
      </c>
      <c r="E24" s="756"/>
      <c r="F24" s="1066"/>
      <c r="G24" s="1066" t="e">
        <f>F23&amp;".1"</f>
        <v>#N/A</v>
      </c>
      <c r="I24" s="1211"/>
      <c r="J24" s="1211">
        <v>1</v>
      </c>
      <c r="K24" s="215"/>
      <c r="L24" s="725" t="e">
        <f>$G$24</f>
        <v>#N/A</v>
      </c>
      <c r="M24" s="164" t="s">
        <v>481</v>
      </c>
      <c r="N24" s="170"/>
      <c r="O24" s="1359"/>
      <c r="P24" s="1360"/>
      <c r="Q24" s="1360"/>
      <c r="R24" s="1360"/>
      <c r="S24" s="1360"/>
      <c r="T24" s="1360"/>
      <c r="U24" s="1360"/>
      <c r="V24" s="1360"/>
      <c r="W24" s="1361"/>
      <c r="X24" s="753" t="s">
        <v>482</v>
      </c>
      <c r="Z24" s="66"/>
      <c r="AA24" s="66" t="str">
        <f t="shared" si="0"/>
        <v>Группа потребителей</v>
      </c>
      <c r="AB24" s="66"/>
      <c r="AC24" s="66"/>
    </row>
    <row r="25" spans="1:29" ht="11.25" customHeight="1">
      <c r="A25" s="756" t="s">
        <v>1583</v>
      </c>
      <c r="B25" s="756" t="s">
        <v>1584</v>
      </c>
      <c r="C25" s="756" t="s">
        <v>1585</v>
      </c>
      <c r="D25" s="756" t="s">
        <v>1586</v>
      </c>
      <c r="E25" s="756"/>
      <c r="F25" s="1066"/>
      <c r="G25" s="1066"/>
      <c r="H25" s="1066" t="e">
        <f>G24&amp;".1"</f>
        <v>#N/A</v>
      </c>
      <c r="I25" s="1211"/>
      <c r="J25" s="1211"/>
      <c r="K25" s="215">
        <v>1</v>
      </c>
      <c r="L25" s="725" t="e">
        <f>$H$25</f>
        <v>#N/A</v>
      </c>
      <c r="M25" s="754"/>
      <c r="N25" s="170"/>
      <c r="O25" s="317"/>
      <c r="P25" s="196"/>
      <c r="Q25" s="317"/>
      <c r="R25" s="752"/>
      <c r="S25" s="1291"/>
      <c r="T25" s="1092" t="s">
        <v>59</v>
      </c>
      <c r="U25" s="1291"/>
      <c r="V25" s="1092" t="s">
        <v>57</v>
      </c>
      <c r="W25" s="196"/>
      <c r="X25" s="1309" t="s">
        <v>484</v>
      </c>
      <c r="Y25" s="65" t="e">
        <f ca="1">STRCHECKDATE(O26:W26)</f>
        <v>#NAME?</v>
      </c>
      <c r="Z25" s="66"/>
      <c r="AA25" s="66" t="str">
        <f t="shared" si="0"/>
        <v/>
      </c>
      <c r="AB25" s="66"/>
      <c r="AC25" s="66"/>
    </row>
    <row r="26" spans="1:29" ht="11.25" customHeight="1">
      <c r="A26" s="756" t="s">
        <v>1583</v>
      </c>
      <c r="B26" s="756" t="s">
        <v>1584</v>
      </c>
      <c r="C26" s="756" t="s">
        <v>1585</v>
      </c>
      <c r="D26" s="756" t="s">
        <v>1586</v>
      </c>
      <c r="E26" s="756"/>
      <c r="F26" s="1066"/>
      <c r="G26" s="1066"/>
      <c r="H26" s="1066"/>
      <c r="I26" s="1211"/>
      <c r="J26" s="1211"/>
      <c r="K26" s="215"/>
      <c r="L26" s="62"/>
      <c r="M26" s="170"/>
      <c r="N26" s="170"/>
      <c r="O26" s="196"/>
      <c r="P26" s="196"/>
      <c r="Q26" s="196"/>
      <c r="R26" s="198" t="str">
        <f>S25&amp;"-"&amp;U25</f>
        <v>-</v>
      </c>
      <c r="S26" s="1292"/>
      <c r="T26" s="1092"/>
      <c r="U26" s="1292"/>
      <c r="V26" s="1092"/>
      <c r="W26" s="196"/>
      <c r="X26" s="1310"/>
      <c r="Z26" s="66"/>
      <c r="AA26" s="66" t="str">
        <f t="shared" si="0"/>
        <v/>
      </c>
      <c r="AB26" s="66"/>
      <c r="AC26" s="66"/>
    </row>
    <row r="27" spans="1:29" ht="15" customHeight="1">
      <c r="A27" s="756" t="s">
        <v>1583</v>
      </c>
      <c r="B27" s="756" t="s">
        <v>1584</v>
      </c>
      <c r="C27" s="756" t="s">
        <v>1585</v>
      </c>
      <c r="D27" s="756" t="s">
        <v>1586</v>
      </c>
      <c r="E27" s="756"/>
      <c r="F27" s="1066"/>
      <c r="G27" s="1066"/>
      <c r="I27" s="1211"/>
      <c r="J27" s="1211"/>
      <c r="K27" s="214"/>
      <c r="L27" s="767"/>
      <c r="M27" s="166" t="s">
        <v>485</v>
      </c>
      <c r="N27" s="221"/>
      <c r="O27" s="221"/>
      <c r="P27" s="221"/>
      <c r="Q27" s="221"/>
      <c r="R27" s="221"/>
      <c r="S27" s="221"/>
      <c r="T27" s="221"/>
      <c r="U27" s="221"/>
      <c r="V27" s="221"/>
      <c r="W27" s="195"/>
      <c r="X27" s="1311"/>
      <c r="Z27" s="66"/>
      <c r="AA27" s="66" t="str">
        <f t="shared" si="0"/>
        <v>Добавить вид теплоносителя (параметры теплоносителя)</v>
      </c>
      <c r="AB27" s="66"/>
      <c r="AC27" s="66"/>
    </row>
    <row r="28" spans="1:29" ht="15" customHeight="1">
      <c r="A28" s="756" t="s">
        <v>1583</v>
      </c>
      <c r="B28" s="756" t="s">
        <v>1584</v>
      </c>
      <c r="C28" s="756" t="s">
        <v>1585</v>
      </c>
      <c r="D28" s="756" t="s">
        <v>1586</v>
      </c>
      <c r="E28" s="756"/>
      <c r="F28" s="1066"/>
      <c r="I28" s="1211"/>
      <c r="J28" s="119"/>
      <c r="K28" s="214"/>
      <c r="L28" s="767"/>
      <c r="M28" s="165" t="s">
        <v>486</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6" t="s">
        <v>1583</v>
      </c>
      <c r="B29" s="756" t="s">
        <v>1584</v>
      </c>
      <c r="C29" s="756" t="s">
        <v>1585</v>
      </c>
      <c r="D29" s="756" t="s">
        <v>1586</v>
      </c>
      <c r="E29" s="756"/>
      <c r="F29" s="351"/>
      <c r="G29" s="351"/>
      <c r="H29" s="9"/>
      <c r="I29" s="2"/>
      <c r="J29" s="224"/>
      <c r="K29" s="213"/>
      <c r="L29" s="767"/>
      <c r="M29" s="219" t="s">
        <v>487</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6" t="s">
        <v>1583</v>
      </c>
      <c r="B30" s="756" t="s">
        <v>1584</v>
      </c>
      <c r="C30" s="756" t="s">
        <v>1585</v>
      </c>
      <c r="D30" s="756"/>
      <c r="E30" s="756" t="s">
        <v>1580</v>
      </c>
      <c r="F30" s="351"/>
      <c r="G30" s="351"/>
      <c r="H30" s="9"/>
      <c r="I30" s="2"/>
      <c r="J30" s="224"/>
      <c r="K30" s="213"/>
      <c r="L30" s="768"/>
      <c r="M30" s="757"/>
      <c r="N30" s="758"/>
      <c r="O30" s="758"/>
      <c r="P30" s="758"/>
      <c r="Q30" s="758"/>
      <c r="R30" s="758"/>
      <c r="S30" s="758"/>
      <c r="T30" s="758"/>
      <c r="U30" s="758"/>
      <c r="V30" s="759"/>
      <c r="W30" s="758"/>
      <c r="X30" s="760"/>
      <c r="Z30" s="66"/>
      <c r="AA30" s="66" t="str">
        <f t="shared" si="0"/>
        <v/>
      </c>
      <c r="AB30" s="66"/>
      <c r="AC30" s="66"/>
    </row>
    <row r="31" spans="1:29" ht="14.25" customHeight="1">
      <c r="A31" s="756" t="s">
        <v>1583</v>
      </c>
      <c r="B31" s="756" t="s">
        <v>1584</v>
      </c>
      <c r="C31" s="756"/>
      <c r="D31" s="756"/>
      <c r="E31" s="756" t="s">
        <v>1581</v>
      </c>
      <c r="F31" s="750"/>
      <c r="G31" s="750"/>
      <c r="H31" s="9"/>
      <c r="I31" s="44"/>
      <c r="J31" s="224"/>
      <c r="K31" s="216"/>
      <c r="L31" s="768"/>
      <c r="M31" s="761"/>
      <c r="N31" s="758"/>
      <c r="O31" s="758"/>
      <c r="P31" s="758"/>
      <c r="Q31" s="758"/>
      <c r="R31" s="758"/>
      <c r="S31" s="758"/>
      <c r="T31" s="758"/>
      <c r="U31" s="758"/>
      <c r="V31" s="759"/>
      <c r="W31" s="758"/>
      <c r="X31" s="760"/>
      <c r="Z31" s="66"/>
      <c r="AA31" s="66" t="str">
        <f t="shared" si="0"/>
        <v/>
      </c>
      <c r="AB31" s="66"/>
      <c r="AC31" s="66"/>
    </row>
    <row r="32" spans="1:29" ht="14.25" customHeight="1">
      <c r="A32" s="756" t="s">
        <v>1587</v>
      </c>
      <c r="B32" s="756"/>
      <c r="C32" s="756"/>
      <c r="D32" s="756"/>
      <c r="E32" s="756" t="s">
        <v>114</v>
      </c>
      <c r="F32" s="750"/>
      <c r="G32" s="750"/>
      <c r="H32" s="9"/>
      <c r="I32" s="2"/>
      <c r="J32" s="224"/>
      <c r="K32" s="213"/>
      <c r="L32" s="768"/>
      <c r="M32" s="762"/>
      <c r="N32" s="758"/>
      <c r="O32" s="758"/>
      <c r="P32" s="758"/>
      <c r="Q32" s="758"/>
      <c r="R32" s="758"/>
      <c r="S32" s="758"/>
      <c r="T32" s="758"/>
      <c r="U32" s="758"/>
      <c r="V32" s="759"/>
      <c r="W32" s="758"/>
      <c r="X32" s="760"/>
      <c r="Z32" s="66"/>
      <c r="AA32" s="66" t="str">
        <f t="shared" si="0"/>
        <v/>
      </c>
      <c r="AB32" s="66"/>
      <c r="AC32" s="66"/>
    </row>
    <row r="33" spans="1:29" ht="11.25" customHeight="1">
      <c r="A33" s="756"/>
      <c r="B33" s="756"/>
      <c r="C33" s="756"/>
      <c r="D33" s="756"/>
      <c r="E33" s="756" t="s">
        <v>447</v>
      </c>
      <c r="F33" s="750"/>
      <c r="G33" s="751"/>
      <c r="H33" s="9"/>
      <c r="I33"/>
      <c r="J33"/>
      <c r="K33"/>
      <c r="L33" s="769"/>
      <c r="M33" s="763"/>
      <c r="N33" s="758"/>
      <c r="O33" s="758"/>
      <c r="P33" s="758"/>
      <c r="Q33" s="758"/>
      <c r="R33" s="758"/>
      <c r="S33" s="758"/>
      <c r="T33" s="758"/>
      <c r="U33" s="758"/>
      <c r="V33" s="759"/>
      <c r="W33" s="758"/>
      <c r="X33" s="760"/>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519</v>
      </c>
      <c r="M35" s="1286" t="s">
        <v>526</v>
      </c>
      <c r="N35" s="1286"/>
      <c r="O35" s="1286"/>
      <c r="P35" s="1286"/>
      <c r="Q35" s="1286"/>
      <c r="R35" s="1286"/>
      <c r="S35" s="1286"/>
      <c r="T35" s="1286"/>
      <c r="U35" s="1286"/>
      <c r="V35" s="1286"/>
      <c r="W35" s="1286"/>
      <c r="X35" s="1286"/>
    </row>
    <row r="36" spans="1:29" ht="104.25" customHeight="1">
      <c r="H36" s="9"/>
      <c r="M36" s="1286" t="s">
        <v>521</v>
      </c>
      <c r="N36" s="1286"/>
      <c r="O36" s="1286"/>
      <c r="P36" s="1286"/>
      <c r="Q36" s="1286"/>
      <c r="R36" s="1286"/>
      <c r="S36" s="1286"/>
      <c r="T36" s="1286"/>
      <c r="U36" s="1286"/>
      <c r="V36" s="1286"/>
      <c r="W36" s="1286"/>
      <c r="X36" s="1286"/>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18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18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18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18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1800-000005000000}"/>
    <dataValidation allowBlank="1" promptTitle="checkPeriodRange" sqref="R26 R65562 R131098 R196634 R262170 R327706 R393242 R458778 R524314 R589850 R655386 R720922 R786458 R851994 R917530 R983066" xr:uid="{00000000-0002-0000-18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18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F14A2-1BEF-BE26-1D3E-1A6C7B97970F}">
  <sheetPr>
    <tabColor theme="6" tint="0.39997558519241921"/>
  </sheetPr>
  <dimension ref="A1:AC40"/>
  <sheetViews>
    <sheetView showGridLines="0" topLeftCell="A4" workbookViewId="0"/>
  </sheetViews>
  <sheetFormatPr defaultColWidth="10.5703125" defaultRowHeight="14.25" customHeight="1"/>
  <cols>
    <col min="1" max="1" width="10.5703125" style="9"/>
    <col min="2" max="2" width="11" style="9" customWidth="1"/>
    <col min="3" max="3" width="10.5703125" style="9"/>
    <col min="4" max="4" width="11.85546875" style="9" customWidth="1"/>
    <col min="5" max="5" width="12.28515625" style="9" customWidth="1"/>
    <col min="6" max="8" width="12.28515625" style="32"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4"/>
      <c r="M4" s="8"/>
      <c r="N4" s="8"/>
    </row>
    <row r="5" spans="6:29" ht="64.5" customHeight="1">
      <c r="J5" s="27"/>
      <c r="K5" s="27"/>
      <c r="L5" s="1144" t="s">
        <v>1577</v>
      </c>
      <c r="M5" s="1144"/>
      <c r="N5" s="1144"/>
      <c r="O5" s="1144"/>
      <c r="P5" s="1144"/>
      <c r="Q5" s="1144"/>
      <c r="R5" s="1144"/>
      <c r="S5" s="1144"/>
      <c r="T5" s="1144"/>
      <c r="U5" s="1144"/>
      <c r="V5" s="57"/>
    </row>
    <row r="6" spans="6:29" ht="14.25" customHeight="1">
      <c r="J6" s="27"/>
      <c r="K6" s="27"/>
      <c r="L6" s="1167" t="str">
        <f>IF(org=0,"Не определено",org)</f>
        <v>ООО "Концессионная Коммунальная Компания"</v>
      </c>
      <c r="M6" s="1167"/>
      <c r="N6" s="1167"/>
      <c r="O6" s="1167"/>
      <c r="P6" s="1167"/>
      <c r="Q6" s="1167"/>
      <c r="R6" s="1167"/>
      <c r="S6" s="1167"/>
      <c r="T6" s="1167"/>
      <c r="U6" s="1167"/>
      <c r="V6" s="57"/>
    </row>
    <row r="7" spans="6:29" ht="14.25" customHeight="1">
      <c r="J7" s="27"/>
      <c r="K7" s="27"/>
      <c r="L7" s="764"/>
      <c r="M7" s="8"/>
      <c r="N7" s="8"/>
      <c r="O7" s="193"/>
      <c r="P7" s="193"/>
      <c r="Q7" s="193"/>
      <c r="R7" s="193"/>
      <c r="S7" s="193"/>
      <c r="T7" s="193"/>
      <c r="U7" s="193"/>
      <c r="V7" s="193"/>
    </row>
    <row r="8" spans="6:29" s="33" customFormat="1" ht="45" customHeight="1">
      <c r="F8" s="15"/>
      <c r="G8" s="15"/>
      <c r="H8" s="15"/>
      <c r="L8" s="765"/>
      <c r="M8" s="169" t="s">
        <v>40</v>
      </c>
      <c r="N8" s="174"/>
      <c r="O8" s="1280" t="str">
        <f>IF(TITLE_NAME_OR_PR_CHANGE="",IF(TITLE_NAME_OR_PR="","",TITLE_NAME_OR_PR),TITLE_NAME_OR_PR_CHANGE)</f>
        <v/>
      </c>
      <c r="P8" s="1280"/>
      <c r="Q8" s="1280"/>
      <c r="R8" s="1280"/>
      <c r="S8" s="1280"/>
      <c r="T8" s="1280"/>
      <c r="U8" s="1280"/>
      <c r="V8" s="9"/>
      <c r="W8" s="9"/>
      <c r="X8" s="162"/>
      <c r="Y8" s="66"/>
      <c r="Z8" s="66"/>
      <c r="AA8" s="66"/>
      <c r="AB8" s="66"/>
      <c r="AC8" s="66"/>
    </row>
    <row r="9" spans="6:29" s="33" customFormat="1" ht="22.5" customHeight="1">
      <c r="F9" s="15"/>
      <c r="G9" s="15"/>
      <c r="H9" s="15"/>
      <c r="L9" s="765"/>
      <c r="M9" s="169" t="s">
        <v>494</v>
      </c>
      <c r="N9" s="174"/>
      <c r="O9" s="1280" t="str">
        <f>IF(TITLE_DATE_CHANGE_PERIOD="",IF(TITLE_DATE_PR="","",TITLE_DATE_PR),TITLE_DATE_CHANGE_PERIOD)</f>
        <v/>
      </c>
      <c r="P9" s="1280"/>
      <c r="Q9" s="1280"/>
      <c r="R9" s="1280"/>
      <c r="S9" s="1280"/>
      <c r="T9" s="1280"/>
      <c r="U9" s="1280"/>
      <c r="V9" s="9"/>
      <c r="W9" s="9"/>
      <c r="X9" s="162"/>
      <c r="Y9" s="66"/>
      <c r="Z9" s="66"/>
      <c r="AA9" s="66"/>
      <c r="AB9" s="66"/>
      <c r="AC9" s="66"/>
    </row>
    <row r="10" spans="6:29" s="33" customFormat="1" ht="22.5" customHeight="1">
      <c r="F10" s="15"/>
      <c r="G10" s="15"/>
      <c r="H10" s="15"/>
      <c r="L10" s="351"/>
      <c r="M10" s="169" t="s">
        <v>495</v>
      </c>
      <c r="N10" s="174"/>
      <c r="O10" s="1280" t="str">
        <f>IF(TITLE_NUMBER_PR_CHANGE="",IF(TITLE_NUMBER_PR="","",TITLE_NUMBER_PR),TITLE_NUMBER_PR_CHANGE)</f>
        <v/>
      </c>
      <c r="P10" s="1280"/>
      <c r="Q10" s="1280"/>
      <c r="R10" s="1280"/>
      <c r="S10" s="1280"/>
      <c r="T10" s="1280"/>
      <c r="U10" s="1280"/>
      <c r="V10" s="9"/>
      <c r="W10" s="9"/>
      <c r="X10" s="162"/>
      <c r="Y10" s="66"/>
      <c r="Z10" s="66"/>
      <c r="AA10" s="66"/>
      <c r="AB10" s="66"/>
      <c r="AC10" s="66"/>
    </row>
    <row r="11" spans="6:29" s="33" customFormat="1" ht="22.5" customHeight="1">
      <c r="F11" s="15"/>
      <c r="G11" s="15"/>
      <c r="H11" s="15"/>
      <c r="L11" s="351"/>
      <c r="M11" s="169" t="s">
        <v>41</v>
      </c>
      <c r="N11" s="174"/>
      <c r="O11" s="1280" t="str">
        <f>IF(TITLE_IST_PUB_CHANGE="",IF(TITLE_IST_PUB="","",TITLE_IST_PUB),TITLE_IST_PUB_CHANGE)</f>
        <v/>
      </c>
      <c r="P11" s="1280"/>
      <c r="Q11" s="1280"/>
      <c r="R11" s="1280"/>
      <c r="S11" s="1280"/>
      <c r="T11" s="1280"/>
      <c r="U11" s="1280"/>
      <c r="V11" s="9"/>
      <c r="W11" s="9"/>
      <c r="X11" s="162"/>
      <c r="Y11" s="66"/>
      <c r="Z11" s="66"/>
      <c r="AA11" s="66"/>
      <c r="AB11" s="66"/>
      <c r="AC11" s="66"/>
    </row>
    <row r="12" spans="6:29" s="33" customFormat="1" ht="11.25" hidden="1" customHeight="1">
      <c r="F12" s="15"/>
      <c r="G12" s="15"/>
      <c r="H12" s="15"/>
      <c r="L12" s="1362"/>
      <c r="M12" s="1362"/>
      <c r="N12" s="75"/>
      <c r="O12" s="9"/>
      <c r="P12" s="9"/>
      <c r="Q12" s="9"/>
      <c r="R12" s="9"/>
      <c r="S12" s="9"/>
      <c r="T12" s="9"/>
      <c r="U12" s="9"/>
      <c r="V12" s="65" t="s">
        <v>498</v>
      </c>
      <c r="Y12" s="66"/>
      <c r="Z12" s="66"/>
      <c r="AA12" s="66"/>
      <c r="AB12" s="66"/>
      <c r="AC12" s="66"/>
    </row>
    <row r="13" spans="6:29" ht="14.25" customHeight="1">
      <c r="J13" s="27"/>
      <c r="K13" s="27"/>
      <c r="L13" s="764"/>
      <c r="M13" s="8"/>
      <c r="N13" s="736"/>
      <c r="O13" s="1298"/>
      <c r="P13" s="1298"/>
      <c r="Q13" s="1298"/>
      <c r="R13" s="1298"/>
      <c r="S13" s="1298"/>
      <c r="T13" s="1298"/>
      <c r="U13" s="1298"/>
      <c r="V13" s="1298"/>
    </row>
    <row r="14" spans="6:29" ht="14.25" customHeight="1">
      <c r="J14" s="27"/>
      <c r="K14" s="27"/>
      <c r="L14" s="1082" t="s">
        <v>302</v>
      </c>
      <c r="M14" s="1082"/>
      <c r="N14" s="1082"/>
      <c r="O14" s="1082"/>
      <c r="P14" s="1082"/>
      <c r="Q14" s="1082"/>
      <c r="R14" s="1082"/>
      <c r="S14" s="1082"/>
      <c r="T14" s="1082"/>
      <c r="U14" s="1082"/>
      <c r="V14" s="1082"/>
      <c r="W14" s="1082"/>
      <c r="X14" s="1082" t="s">
        <v>303</v>
      </c>
    </row>
    <row r="15" spans="6:29" ht="14.25" customHeight="1">
      <c r="J15" s="27"/>
      <c r="K15" s="27"/>
      <c r="L15" s="1299" t="s">
        <v>88</v>
      </c>
      <c r="M15" s="1176" t="s">
        <v>499</v>
      </c>
      <c r="N15" s="171"/>
      <c r="O15" s="1300" t="s">
        <v>1578</v>
      </c>
      <c r="P15" s="1301"/>
      <c r="Q15" s="1301"/>
      <c r="R15" s="1301"/>
      <c r="S15" s="1301"/>
      <c r="T15" s="1301"/>
      <c r="U15" s="1302"/>
      <c r="V15" s="1303" t="s">
        <v>501</v>
      </c>
      <c r="W15" s="1306" t="s">
        <v>1579</v>
      </c>
      <c r="X15" s="1082"/>
    </row>
    <row r="16" spans="6:29" ht="33.75" customHeight="1">
      <c r="J16" s="27"/>
      <c r="K16" s="27"/>
      <c r="L16" s="1299"/>
      <c r="M16" s="1176"/>
      <c r="N16" s="621"/>
      <c r="O16" s="1145" t="s">
        <v>504</v>
      </c>
      <c r="P16" s="1145" t="s">
        <v>505</v>
      </c>
      <c r="Q16" s="1063" t="s">
        <v>506</v>
      </c>
      <c r="R16" s="1062"/>
      <c r="S16" s="1063" t="s">
        <v>525</v>
      </c>
      <c r="T16" s="1068"/>
      <c r="U16" s="1062"/>
      <c r="V16" s="1304"/>
      <c r="W16" s="1307"/>
      <c r="X16" s="1082"/>
    </row>
    <row r="17" spans="1:29" ht="33.75" customHeight="1">
      <c r="A17" s="15" t="s">
        <v>150</v>
      </c>
      <c r="B17" s="15" t="s">
        <v>151</v>
      </c>
      <c r="C17" s="15" t="s">
        <v>152</v>
      </c>
      <c r="D17" s="15" t="s">
        <v>153</v>
      </c>
      <c r="E17" s="15"/>
      <c r="J17" s="27"/>
      <c r="K17" s="27"/>
      <c r="L17" s="1299"/>
      <c r="M17" s="1176"/>
      <c r="N17" s="172"/>
      <c r="O17" s="1200"/>
      <c r="P17" s="1200"/>
      <c r="Q17" s="37" t="s">
        <v>515</v>
      </c>
      <c r="R17" s="37" t="s">
        <v>516</v>
      </c>
      <c r="S17" s="37" t="s">
        <v>517</v>
      </c>
      <c r="T17" s="1182" t="s">
        <v>518</v>
      </c>
      <c r="U17" s="1195"/>
      <c r="V17" s="1305"/>
      <c r="W17" s="1308"/>
      <c r="X17" s="1082"/>
    </row>
    <row r="18" spans="1:29" s="209" customFormat="1" ht="11.25" customHeight="1">
      <c r="A18" s="15"/>
      <c r="B18" s="15"/>
      <c r="C18" s="15"/>
      <c r="D18" s="15"/>
      <c r="E18" s="15"/>
      <c r="F18" s="32"/>
      <c r="G18" s="32"/>
      <c r="H18" s="32"/>
      <c r="I18" s="738"/>
      <c r="J18" s="739"/>
      <c r="K18" s="747">
        <v>1</v>
      </c>
      <c r="L18" s="766" t="s">
        <v>119</v>
      </c>
      <c r="M18" s="748" t="s">
        <v>103</v>
      </c>
      <c r="N18" s="737" t="str">
        <f ca="1">OFFSET(N18,0,-1)</f>
        <v>2</v>
      </c>
      <c r="O18" s="749">
        <f ca="1">OFFSET(O18,0,-1)+1</f>
        <v>3</v>
      </c>
      <c r="P18" s="749"/>
      <c r="Q18" s="749">
        <f ca="1">OFFSET(Q18,0,-1)+1</f>
        <v>1</v>
      </c>
      <c r="R18" s="749">
        <f ca="1">OFFSET(R18,0,-1)+1</f>
        <v>2</v>
      </c>
      <c r="S18" s="749">
        <f ca="1">OFFSET(S18,0,-1)+1</f>
        <v>3</v>
      </c>
      <c r="T18" s="1297">
        <f ca="1">OFFSET(T18,0,-1)+1</f>
        <v>4</v>
      </c>
      <c r="U18" s="1297"/>
      <c r="V18" s="749">
        <f ca="1">OFFSET(V18,0,-2)+1</f>
        <v>5</v>
      </c>
      <c r="W18" s="737">
        <f ca="1">OFFSET(W18,0,-1)</f>
        <v>5</v>
      </c>
      <c r="X18" s="749">
        <f ca="1">OFFSET(X18,0,-1)+1</f>
        <v>6</v>
      </c>
      <c r="Y18" s="65"/>
      <c r="Z18" s="65"/>
      <c r="AA18" s="65"/>
      <c r="AB18" s="65"/>
      <c r="AC18" s="65"/>
    </row>
    <row r="19" spans="1:29" ht="21" customHeight="1">
      <c r="A19" s="756" t="s">
        <v>1588</v>
      </c>
      <c r="B19" s="756" t="s">
        <v>1589</v>
      </c>
      <c r="C19" s="756" t="s">
        <v>1590</v>
      </c>
      <c r="D19" s="756" t="s">
        <v>1591</v>
      </c>
      <c r="E19" s="756"/>
      <c r="F19" s="351"/>
      <c r="G19" s="351"/>
      <c r="H19" s="351"/>
      <c r="J19" s="2"/>
      <c r="K19" s="213"/>
      <c r="L19" s="725" t="e">
        <f>INDEX(PT_DIFFERENTIATION_NUM_NTAR,MATCH(A19,PT_DIFFERENTIATION_NTAR_ID,0))</f>
        <v>#N/A</v>
      </c>
      <c r="M19" s="64" t="s">
        <v>139</v>
      </c>
      <c r="N19" s="170"/>
      <c r="O19" s="1357" t="e">
        <f>INDEX(PT_DIFFERENTIATION_NTAR,MATCH(A19,PT_DIFFERENTIATION_NTAR_ID,0))</f>
        <v>#N/A</v>
      </c>
      <c r="P19" s="1357"/>
      <c r="Q19" s="1357"/>
      <c r="R19" s="1357"/>
      <c r="S19" s="1357"/>
      <c r="T19" s="1357"/>
      <c r="U19" s="1357"/>
      <c r="V19" s="1357"/>
      <c r="W19" s="1357"/>
      <c r="X19" s="753" t="s">
        <v>470</v>
      </c>
      <c r="Z19" s="66"/>
      <c r="AA19" s="66" t="str">
        <f t="shared" ref="AA19:AA32" si="0">IF(M19="","",M19)</f>
        <v>Наименование тарифа</v>
      </c>
      <c r="AB19" s="66"/>
      <c r="AC19" s="66"/>
    </row>
    <row r="20" spans="1:29" ht="21" customHeight="1">
      <c r="A20" s="756" t="s">
        <v>1588</v>
      </c>
      <c r="B20" s="756" t="s">
        <v>1589</v>
      </c>
      <c r="C20" s="756" t="s">
        <v>1590</v>
      </c>
      <c r="D20" s="756" t="s">
        <v>1591</v>
      </c>
      <c r="E20" s="756"/>
      <c r="F20" s="351"/>
      <c r="G20" s="351"/>
      <c r="H20" s="351"/>
      <c r="I20" s="56"/>
      <c r="J20" s="210"/>
      <c r="K20" s="211"/>
      <c r="L20" s="725" t="e">
        <f>INDEX(PT_DIFFERENTIATION_NUM_TER,MATCH(B19,PT_DIFFERENTIATION_TER_ID,0))</f>
        <v>#N/A</v>
      </c>
      <c r="M20" s="178" t="s">
        <v>471</v>
      </c>
      <c r="N20" s="170"/>
      <c r="O20" s="1357" t="e">
        <f>INDEX(PT_DIFFERENTIATION_TER,MATCH(B19,PT_DIFFERENTIATION_TER_ID,0))</f>
        <v>#N/A</v>
      </c>
      <c r="P20" s="1357"/>
      <c r="Q20" s="1357"/>
      <c r="R20" s="1357"/>
      <c r="S20" s="1357"/>
      <c r="T20" s="1357"/>
      <c r="U20" s="1357"/>
      <c r="V20" s="1357"/>
      <c r="W20" s="1357"/>
      <c r="X20" s="753" t="s">
        <v>472</v>
      </c>
      <c r="Z20" s="66"/>
      <c r="AA20" s="66" t="str">
        <f t="shared" si="0"/>
        <v>Территория действия тарифа</v>
      </c>
      <c r="AB20" s="66"/>
      <c r="AC20" s="66"/>
    </row>
    <row r="21" spans="1:29" ht="22.5" customHeight="1">
      <c r="A21" s="756" t="s">
        <v>1588</v>
      </c>
      <c r="B21" s="756" t="s">
        <v>1589</v>
      </c>
      <c r="C21" s="756" t="s">
        <v>1590</v>
      </c>
      <c r="D21" s="756" t="s">
        <v>1591</v>
      </c>
      <c r="E21" s="756"/>
      <c r="F21" s="351"/>
      <c r="G21" s="351"/>
      <c r="H21" s="351"/>
      <c r="I21" s="212"/>
      <c r="J21" s="210"/>
      <c r="K21" s="211"/>
      <c r="L21" s="725" t="e">
        <f>INDEX(PT_DIFFERENTIATION_NUM_CS,MATCH(C19,PT_DIFFERENTIATION_CS_ID,0))</f>
        <v>#N/A</v>
      </c>
      <c r="M21" s="179" t="s">
        <v>473</v>
      </c>
      <c r="N21" s="170"/>
      <c r="O21" s="1357" t="e">
        <f>INDEX(PT_DIFFERENTIATION_CS,MATCH(C19,PT_DIFFERENTIATION_CS_ID,0))</f>
        <v>#N/A</v>
      </c>
      <c r="P21" s="1357"/>
      <c r="Q21" s="1357"/>
      <c r="R21" s="1357"/>
      <c r="S21" s="1357"/>
      <c r="T21" s="1357"/>
      <c r="U21" s="1357"/>
      <c r="V21" s="1357"/>
      <c r="W21" s="1357"/>
      <c r="X21" s="753" t="s">
        <v>474</v>
      </c>
      <c r="Z21" s="66"/>
      <c r="AA21" s="66" t="str">
        <f t="shared" si="0"/>
        <v xml:space="preserve">Наименование системы теплоснабжения </v>
      </c>
      <c r="AB21" s="66"/>
      <c r="AC21" s="66"/>
    </row>
    <row r="22" spans="1:29" ht="21" customHeight="1">
      <c r="A22" s="756" t="s">
        <v>1588</v>
      </c>
      <c r="B22" s="756" t="s">
        <v>1589</v>
      </c>
      <c r="C22" s="756" t="s">
        <v>1590</v>
      </c>
      <c r="D22" s="756" t="s">
        <v>1591</v>
      </c>
      <c r="E22" s="756"/>
      <c r="F22" s="351"/>
      <c r="G22" s="351"/>
      <c r="H22" s="351"/>
      <c r="I22" s="212"/>
      <c r="J22" s="210"/>
      <c r="K22" s="211"/>
      <c r="L22" s="725" t="e">
        <f>INDEX(PT_DIFFERENTIATION_NUM_IST_TE,MATCH(D19,PT_DIFFERENTIATION_IST_TE_ID,0))</f>
        <v>#N/A</v>
      </c>
      <c r="M22" s="180" t="s">
        <v>475</v>
      </c>
      <c r="N22" s="170"/>
      <c r="O22" s="1357" t="e">
        <f>INDEX(PT_DIFFERENTIATION_IST_TE,MATCH(D19,PT_DIFFERENTIATION_IST_TE_ID,0))</f>
        <v>#N/A</v>
      </c>
      <c r="P22" s="1357"/>
      <c r="Q22" s="1357"/>
      <c r="R22" s="1357"/>
      <c r="S22" s="1357"/>
      <c r="T22" s="1357"/>
      <c r="U22" s="1357"/>
      <c r="V22" s="1357"/>
      <c r="W22" s="1357"/>
      <c r="X22" s="753" t="s">
        <v>476</v>
      </c>
      <c r="Z22" s="66"/>
      <c r="AA22" s="66" t="str">
        <f t="shared" si="0"/>
        <v xml:space="preserve">Источник тепловой энергии  </v>
      </c>
      <c r="AB22" s="66"/>
      <c r="AC22" s="66"/>
    </row>
    <row r="23" spans="1:29" ht="94.5" customHeight="1">
      <c r="A23" s="756" t="s">
        <v>1588</v>
      </c>
      <c r="B23" s="756" t="s">
        <v>1589</v>
      </c>
      <c r="C23" s="756" t="s">
        <v>1590</v>
      </c>
      <c r="D23" s="756" t="s">
        <v>1591</v>
      </c>
      <c r="E23" s="756"/>
      <c r="F23" s="1066" t="e">
        <f>L22&amp;".1"</f>
        <v>#N/A</v>
      </c>
      <c r="I23" s="1211">
        <v>1</v>
      </c>
      <c r="J23" s="119"/>
      <c r="K23" s="214"/>
      <c r="L23" s="725" t="e">
        <f>$F$23</f>
        <v>#N/A</v>
      </c>
      <c r="M23" s="163" t="s">
        <v>478</v>
      </c>
      <c r="N23" s="170"/>
      <c r="O23" s="1358"/>
      <c r="P23" s="1358"/>
      <c r="Q23" s="1358"/>
      <c r="R23" s="1358"/>
      <c r="S23" s="1358"/>
      <c r="T23" s="1358"/>
      <c r="U23" s="1358"/>
      <c r="V23" s="1358"/>
      <c r="W23" s="1358"/>
      <c r="X23" s="753" t="s">
        <v>479</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6" t="s">
        <v>1588</v>
      </c>
      <c r="B24" s="756" t="s">
        <v>1589</v>
      </c>
      <c r="C24" s="756" t="s">
        <v>1590</v>
      </c>
      <c r="D24" s="756" t="s">
        <v>1591</v>
      </c>
      <c r="E24" s="756"/>
      <c r="F24" s="1066"/>
      <c r="G24" s="1066" t="e">
        <f>F23&amp;".1"</f>
        <v>#N/A</v>
      </c>
      <c r="I24" s="1211"/>
      <c r="J24" s="1211">
        <v>1</v>
      </c>
      <c r="K24" s="215"/>
      <c r="L24" s="725" t="e">
        <f>$G$24</f>
        <v>#N/A</v>
      </c>
      <c r="M24" s="164" t="s">
        <v>481</v>
      </c>
      <c r="N24" s="170"/>
      <c r="O24" s="1359"/>
      <c r="P24" s="1360"/>
      <c r="Q24" s="1360"/>
      <c r="R24" s="1360"/>
      <c r="S24" s="1360"/>
      <c r="T24" s="1360"/>
      <c r="U24" s="1360"/>
      <c r="V24" s="1360"/>
      <c r="W24" s="1361"/>
      <c r="X24" s="753" t="s">
        <v>482</v>
      </c>
      <c r="Z24" s="66"/>
      <c r="AA24" s="66" t="str">
        <f t="shared" si="0"/>
        <v>Группа потребителей</v>
      </c>
      <c r="AB24" s="66"/>
      <c r="AC24" s="66"/>
    </row>
    <row r="25" spans="1:29" ht="11.25" customHeight="1">
      <c r="A25" s="756" t="s">
        <v>1588</v>
      </c>
      <c r="B25" s="756" t="s">
        <v>1589</v>
      </c>
      <c r="C25" s="756" t="s">
        <v>1590</v>
      </c>
      <c r="D25" s="756" t="s">
        <v>1591</v>
      </c>
      <c r="E25" s="756"/>
      <c r="F25" s="1066"/>
      <c r="G25" s="1066"/>
      <c r="H25" s="1066" t="e">
        <f>G24&amp;".1"</f>
        <v>#N/A</v>
      </c>
      <c r="I25" s="1211"/>
      <c r="J25" s="1211"/>
      <c r="K25" s="215">
        <v>1</v>
      </c>
      <c r="L25" s="725" t="e">
        <f>$H$25</f>
        <v>#N/A</v>
      </c>
      <c r="M25" s="754"/>
      <c r="N25" s="170"/>
      <c r="O25" s="317"/>
      <c r="P25" s="196"/>
      <c r="Q25" s="317"/>
      <c r="R25" s="752"/>
      <c r="S25" s="1291"/>
      <c r="T25" s="1092" t="s">
        <v>59</v>
      </c>
      <c r="U25" s="1291"/>
      <c r="V25" s="1092" t="s">
        <v>57</v>
      </c>
      <c r="W25" s="196"/>
      <c r="X25" s="1309" t="s">
        <v>484</v>
      </c>
      <c r="Y25" s="65" t="e">
        <f ca="1">STRCHECKDATE(O26:W26)</f>
        <v>#NAME?</v>
      </c>
      <c r="Z25" s="66"/>
      <c r="AA25" s="66" t="str">
        <f t="shared" si="0"/>
        <v/>
      </c>
      <c r="AB25" s="66"/>
      <c r="AC25" s="66"/>
    </row>
    <row r="26" spans="1:29" ht="11.25" customHeight="1">
      <c r="A26" s="756" t="s">
        <v>1588</v>
      </c>
      <c r="B26" s="756" t="s">
        <v>1589</v>
      </c>
      <c r="C26" s="756" t="s">
        <v>1590</v>
      </c>
      <c r="D26" s="756" t="s">
        <v>1591</v>
      </c>
      <c r="E26" s="756"/>
      <c r="F26" s="1066"/>
      <c r="G26" s="1066"/>
      <c r="H26" s="1066"/>
      <c r="I26" s="1211"/>
      <c r="J26" s="1211"/>
      <c r="K26" s="215"/>
      <c r="L26" s="62"/>
      <c r="M26" s="170"/>
      <c r="N26" s="170"/>
      <c r="O26" s="196"/>
      <c r="P26" s="196"/>
      <c r="Q26" s="196"/>
      <c r="R26" s="198" t="str">
        <f>S25&amp;"-"&amp;U25</f>
        <v>-</v>
      </c>
      <c r="S26" s="1292"/>
      <c r="T26" s="1092"/>
      <c r="U26" s="1292"/>
      <c r="V26" s="1092"/>
      <c r="W26" s="196"/>
      <c r="X26" s="1310"/>
      <c r="Z26" s="66"/>
      <c r="AA26" s="66" t="str">
        <f t="shared" si="0"/>
        <v/>
      </c>
      <c r="AB26" s="66"/>
      <c r="AC26" s="66"/>
    </row>
    <row r="27" spans="1:29" ht="15" customHeight="1">
      <c r="A27" s="756" t="s">
        <v>1588</v>
      </c>
      <c r="B27" s="756" t="s">
        <v>1589</v>
      </c>
      <c r="C27" s="756" t="s">
        <v>1590</v>
      </c>
      <c r="D27" s="756" t="s">
        <v>1591</v>
      </c>
      <c r="E27" s="756"/>
      <c r="F27" s="1066"/>
      <c r="G27" s="1066"/>
      <c r="I27" s="1211"/>
      <c r="J27" s="1211"/>
      <c r="K27" s="214"/>
      <c r="L27" s="767"/>
      <c r="M27" s="166" t="s">
        <v>485</v>
      </c>
      <c r="N27" s="221"/>
      <c r="O27" s="221"/>
      <c r="P27" s="221"/>
      <c r="Q27" s="221"/>
      <c r="R27" s="221"/>
      <c r="S27" s="221"/>
      <c r="T27" s="221"/>
      <c r="U27" s="221"/>
      <c r="V27" s="221"/>
      <c r="W27" s="195"/>
      <c r="X27" s="1311"/>
      <c r="Z27" s="66"/>
      <c r="AA27" s="66" t="str">
        <f t="shared" si="0"/>
        <v>Добавить вид теплоносителя (параметры теплоносителя)</v>
      </c>
      <c r="AB27" s="66"/>
      <c r="AC27" s="66"/>
    </row>
    <row r="28" spans="1:29" ht="15" customHeight="1">
      <c r="A28" s="756" t="s">
        <v>1588</v>
      </c>
      <c r="B28" s="756" t="s">
        <v>1589</v>
      </c>
      <c r="C28" s="756" t="s">
        <v>1590</v>
      </c>
      <c r="D28" s="756" t="s">
        <v>1591</v>
      </c>
      <c r="E28" s="756"/>
      <c r="F28" s="1066"/>
      <c r="I28" s="1211"/>
      <c r="J28" s="119"/>
      <c r="K28" s="214"/>
      <c r="L28" s="767"/>
      <c r="M28" s="165" t="s">
        <v>486</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6" t="s">
        <v>1588</v>
      </c>
      <c r="B29" s="756" t="s">
        <v>1589</v>
      </c>
      <c r="C29" s="756" t="s">
        <v>1590</v>
      </c>
      <c r="D29" s="756" t="s">
        <v>1591</v>
      </c>
      <c r="E29" s="756"/>
      <c r="F29" s="351"/>
      <c r="G29" s="351"/>
      <c r="H29" s="9"/>
      <c r="I29" s="2"/>
      <c r="J29" s="224"/>
      <c r="K29" s="213"/>
      <c r="L29" s="767"/>
      <c r="M29" s="219" t="s">
        <v>487</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6" t="s">
        <v>1588</v>
      </c>
      <c r="B30" s="756" t="s">
        <v>1589</v>
      </c>
      <c r="C30" s="756" t="s">
        <v>1590</v>
      </c>
      <c r="D30" s="756"/>
      <c r="E30" s="756" t="s">
        <v>1580</v>
      </c>
      <c r="F30" s="351"/>
      <c r="G30" s="351"/>
      <c r="H30" s="9"/>
      <c r="I30" s="2"/>
      <c r="J30" s="224"/>
      <c r="K30" s="213"/>
      <c r="L30" s="768"/>
      <c r="M30" s="757"/>
      <c r="N30" s="758"/>
      <c r="O30" s="758"/>
      <c r="P30" s="758"/>
      <c r="Q30" s="758"/>
      <c r="R30" s="758"/>
      <c r="S30" s="758"/>
      <c r="T30" s="758"/>
      <c r="U30" s="758"/>
      <c r="V30" s="759"/>
      <c r="W30" s="758"/>
      <c r="X30" s="760"/>
      <c r="Z30" s="66"/>
      <c r="AA30" s="66" t="str">
        <f t="shared" si="0"/>
        <v/>
      </c>
      <c r="AB30" s="66"/>
      <c r="AC30" s="66"/>
    </row>
    <row r="31" spans="1:29" ht="14.25" customHeight="1">
      <c r="A31" s="756" t="s">
        <v>1588</v>
      </c>
      <c r="B31" s="756" t="s">
        <v>1589</v>
      </c>
      <c r="C31" s="756"/>
      <c r="D31" s="756"/>
      <c r="E31" s="756" t="s">
        <v>1581</v>
      </c>
      <c r="F31" s="750"/>
      <c r="G31" s="750"/>
      <c r="H31" s="9"/>
      <c r="I31" s="44"/>
      <c r="J31" s="224"/>
      <c r="K31" s="216"/>
      <c r="L31" s="768"/>
      <c r="M31" s="761"/>
      <c r="N31" s="758"/>
      <c r="O31" s="758"/>
      <c r="P31" s="758"/>
      <c r="Q31" s="758"/>
      <c r="R31" s="758"/>
      <c r="S31" s="758"/>
      <c r="T31" s="758"/>
      <c r="U31" s="758"/>
      <c r="V31" s="759"/>
      <c r="W31" s="758"/>
      <c r="X31" s="760"/>
      <c r="Z31" s="66"/>
      <c r="AA31" s="66" t="str">
        <f t="shared" si="0"/>
        <v/>
      </c>
      <c r="AB31" s="66"/>
      <c r="AC31" s="66"/>
    </row>
    <row r="32" spans="1:29" ht="14.25" customHeight="1">
      <c r="A32" s="756" t="s">
        <v>1592</v>
      </c>
      <c r="B32" s="756"/>
      <c r="C32" s="756"/>
      <c r="D32" s="756"/>
      <c r="E32" s="756" t="s">
        <v>114</v>
      </c>
      <c r="F32" s="750"/>
      <c r="G32" s="750"/>
      <c r="H32" s="9"/>
      <c r="I32" s="2"/>
      <c r="J32" s="224"/>
      <c r="K32" s="213"/>
      <c r="L32" s="768"/>
      <c r="M32" s="762"/>
      <c r="N32" s="758"/>
      <c r="O32" s="758"/>
      <c r="P32" s="758"/>
      <c r="Q32" s="758"/>
      <c r="R32" s="758"/>
      <c r="S32" s="758"/>
      <c r="T32" s="758"/>
      <c r="U32" s="758"/>
      <c r="V32" s="759"/>
      <c r="W32" s="758"/>
      <c r="X32" s="760"/>
      <c r="Z32" s="66"/>
      <c r="AA32" s="66" t="str">
        <f t="shared" si="0"/>
        <v/>
      </c>
      <c r="AB32" s="66"/>
      <c r="AC32" s="66"/>
    </row>
    <row r="33" spans="1:29" ht="11.25" customHeight="1">
      <c r="A33" s="756"/>
      <c r="B33" s="756"/>
      <c r="C33" s="756"/>
      <c r="D33" s="756"/>
      <c r="E33" s="756" t="s">
        <v>447</v>
      </c>
      <c r="F33" s="750"/>
      <c r="G33" s="751"/>
      <c r="H33" s="9"/>
      <c r="I33"/>
      <c r="J33"/>
      <c r="K33"/>
      <c r="L33" s="769"/>
      <c r="M33" s="763"/>
      <c r="N33" s="758"/>
      <c r="O33" s="758"/>
      <c r="P33" s="758"/>
      <c r="Q33" s="758"/>
      <c r="R33" s="758"/>
      <c r="S33" s="758"/>
      <c r="T33" s="758"/>
      <c r="U33" s="758"/>
      <c r="V33" s="759"/>
      <c r="W33" s="758"/>
      <c r="X33" s="760"/>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519</v>
      </c>
      <c r="M35" s="1286" t="s">
        <v>526</v>
      </c>
      <c r="N35" s="1286"/>
      <c r="O35" s="1286"/>
      <c r="P35" s="1286"/>
      <c r="Q35" s="1286"/>
      <c r="R35" s="1286"/>
      <c r="S35" s="1286"/>
      <c r="T35" s="1286"/>
      <c r="U35" s="1286"/>
      <c r="V35" s="1286"/>
      <c r="W35" s="1286"/>
      <c r="X35" s="1286"/>
    </row>
    <row r="36" spans="1:29" ht="104.25" customHeight="1">
      <c r="H36" s="9"/>
      <c r="M36" s="1286" t="s">
        <v>521</v>
      </c>
      <c r="N36" s="1286"/>
      <c r="O36" s="1286"/>
      <c r="P36" s="1286"/>
      <c r="Q36" s="1286"/>
      <c r="R36" s="1286"/>
      <c r="S36" s="1286"/>
      <c r="T36" s="1286"/>
      <c r="U36" s="1286"/>
      <c r="V36" s="1286"/>
      <c r="W36" s="1286"/>
      <c r="X36" s="1286"/>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1900-000000000000}"/>
    <dataValidation allowBlank="1" promptTitle="checkPeriodRange" sqref="R26 R65562 R131098 R196634 R262170 R327706 R393242 R458778 R524314 R589850 R655386 R720922 R786458 R851994 R917530 R983066" xr:uid="{00000000-0002-0000-1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1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1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19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19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19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1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111F2-7136-EEBB-14C8-E8BEF718F122}">
  <sheetPr>
    <tabColor theme="6" tint="0.39997558519241921"/>
  </sheetPr>
  <dimension ref="A1:AC32"/>
  <sheetViews>
    <sheetView showGridLines="0" topLeftCell="A4" workbookViewId="0"/>
  </sheetViews>
  <sheetFormatPr defaultColWidth="10.5703125" defaultRowHeight="14.25" customHeight="1"/>
  <cols>
    <col min="1" max="6" width="10.5703125" style="65"/>
    <col min="7" max="8" width="9.140625" style="228" customWidth="1"/>
    <col min="9" max="9" width="3.7109375" style="32" customWidth="1"/>
    <col min="10" max="11" width="3.7109375" style="28" customWidth="1"/>
    <col min="12" max="12" width="12.7109375" style="9" customWidth="1"/>
    <col min="13" max="13" width="47.42578125" style="9" customWidth="1"/>
    <col min="14" max="14" width="2.7109375" style="9" hidden="1" customWidth="1"/>
    <col min="15" max="18" width="23.7109375" style="9" customWidth="1"/>
    <col min="19" max="19" width="11.7109375" style="9" customWidth="1"/>
    <col min="20" max="20" width="3.7109375" style="9" customWidth="1"/>
    <col min="21" max="21" width="11.7109375" style="9" customWidth="1"/>
    <col min="22" max="22" width="8.5703125" style="9" hidden="1" customWidth="1"/>
    <col min="23" max="23" width="4.7109375" style="9" customWidth="1"/>
    <col min="24" max="24" width="115.7109375" style="9" customWidth="1"/>
    <col min="25" max="29" width="10.5703125" style="65"/>
  </cols>
  <sheetData>
    <row r="1" spans="1:29" ht="14.25" hidden="1" customHeight="1"/>
    <row r="2" spans="1:29" ht="14.25" hidden="1" customHeight="1"/>
    <row r="3" spans="1:29" ht="14.25" hidden="1" customHeight="1"/>
    <row r="4" spans="1:29" ht="14.25" customHeight="1">
      <c r="J4" s="27"/>
      <c r="K4" s="27"/>
      <c r="L4" s="8"/>
      <c r="M4" s="8"/>
      <c r="N4" s="8"/>
      <c r="V4" s="8"/>
    </row>
    <row r="5" spans="1:29" ht="14.25" customHeight="1">
      <c r="J5" s="27"/>
      <c r="K5" s="27"/>
      <c r="L5" s="1367" t="s">
        <v>1593</v>
      </c>
      <c r="M5" s="1367"/>
      <c r="N5" s="1367"/>
      <c r="O5" s="1367"/>
      <c r="P5" s="1367"/>
      <c r="Q5" s="1367"/>
      <c r="R5" s="1367"/>
      <c r="S5" s="1367"/>
      <c r="T5" s="1367"/>
      <c r="U5" s="160"/>
      <c r="V5" s="160"/>
    </row>
    <row r="6" spans="1:29" ht="14.25" customHeight="1">
      <c r="J6" s="27"/>
      <c r="K6" s="27"/>
      <c r="L6" s="8"/>
      <c r="M6" s="8"/>
      <c r="N6" s="8"/>
      <c r="O6" s="193"/>
      <c r="P6" s="193"/>
      <c r="Q6" s="193"/>
      <c r="R6" s="193"/>
      <c r="S6" s="193"/>
      <c r="T6" s="193"/>
      <c r="U6" s="8"/>
    </row>
    <row r="7" spans="1:29" s="33" customFormat="1" ht="22.5" customHeight="1">
      <c r="A7" s="66"/>
      <c r="B7" s="66"/>
      <c r="C7" s="66"/>
      <c r="D7" s="66"/>
      <c r="E7" s="66"/>
      <c r="F7" s="66"/>
      <c r="G7" s="66"/>
      <c r="H7" s="66"/>
      <c r="L7" s="161"/>
      <c r="M7" s="169" t="s">
        <v>40</v>
      </c>
      <c r="N7" s="174"/>
      <c r="O7" s="1368" t="e">
        <f>IF(NameOrPr_ch="",IF(NameOrPr="","",NameOrPr),NameOrPr_ch)</f>
        <v>#NAME?</v>
      </c>
      <c r="P7" s="1369"/>
      <c r="Q7" s="1369"/>
      <c r="R7" s="1369"/>
      <c r="S7" s="1369"/>
      <c r="T7" s="1370"/>
      <c r="U7" s="740"/>
      <c r="Y7" s="66"/>
      <c r="Z7" s="66"/>
      <c r="AA7" s="66"/>
      <c r="AB7" s="66"/>
      <c r="AC7" s="66"/>
    </row>
    <row r="8" spans="1:29" s="33" customFormat="1" ht="18.75" customHeight="1">
      <c r="A8" s="66"/>
      <c r="B8" s="66"/>
      <c r="C8" s="66"/>
      <c r="D8" s="66"/>
      <c r="E8" s="66"/>
      <c r="F8" s="66"/>
      <c r="G8" s="66"/>
      <c r="H8" s="66"/>
      <c r="L8" s="161"/>
      <c r="M8" s="169" t="s">
        <v>494</v>
      </c>
      <c r="N8" s="174"/>
      <c r="O8" s="1368" t="e">
        <f>IF(datePr_ch="",IF(datePr="","",datePr),datePr_ch)</f>
        <v>#NAME?</v>
      </c>
      <c r="P8" s="1369"/>
      <c r="Q8" s="1369"/>
      <c r="R8" s="1369"/>
      <c r="S8" s="1369"/>
      <c r="T8" s="1370"/>
      <c r="U8" s="740"/>
      <c r="Y8" s="66"/>
      <c r="Z8" s="66"/>
      <c r="AA8" s="66"/>
      <c r="AB8" s="66"/>
      <c r="AC8" s="66"/>
    </row>
    <row r="9" spans="1:29" s="33" customFormat="1" ht="18.75" customHeight="1">
      <c r="A9" s="66"/>
      <c r="B9" s="66"/>
      <c r="C9" s="66"/>
      <c r="D9" s="66"/>
      <c r="E9" s="66"/>
      <c r="F9" s="66"/>
      <c r="G9" s="66"/>
      <c r="H9" s="66"/>
      <c r="L9" s="9"/>
      <c r="M9" s="169" t="s">
        <v>495</v>
      </c>
      <c r="N9" s="174"/>
      <c r="O9" s="1368" t="e">
        <f>IF(numberPr_ch="",IF(numberPr="","",numberPr),numberPr_ch)</f>
        <v>#NAME?</v>
      </c>
      <c r="P9" s="1369"/>
      <c r="Q9" s="1369"/>
      <c r="R9" s="1369"/>
      <c r="S9" s="1369"/>
      <c r="T9" s="1370"/>
      <c r="U9" s="740"/>
      <c r="Y9" s="66"/>
      <c r="Z9" s="66"/>
      <c r="AA9" s="66"/>
      <c r="AB9" s="66"/>
      <c r="AC9" s="66"/>
    </row>
    <row r="10" spans="1:29" s="33" customFormat="1" ht="18.75" customHeight="1">
      <c r="A10" s="66"/>
      <c r="B10" s="66"/>
      <c r="C10" s="66"/>
      <c r="D10" s="66"/>
      <c r="E10" s="66"/>
      <c r="F10" s="66"/>
      <c r="G10" s="66"/>
      <c r="H10" s="66"/>
      <c r="L10" s="9"/>
      <c r="M10" s="169" t="s">
        <v>41</v>
      </c>
      <c r="N10" s="174"/>
      <c r="O10" s="1368" t="e">
        <f>IF(IstPub_ch="",IF(IstPub="","",IstPub),IstPub_ch)</f>
        <v>#NAME?</v>
      </c>
      <c r="P10" s="1369"/>
      <c r="Q10" s="1369"/>
      <c r="R10" s="1369"/>
      <c r="S10" s="1369"/>
      <c r="T10" s="1370"/>
      <c r="U10" s="740"/>
      <c r="Y10" s="66"/>
      <c r="Z10" s="66"/>
      <c r="AA10" s="66"/>
      <c r="AB10" s="66"/>
      <c r="AC10" s="66"/>
    </row>
    <row r="11" spans="1:29" s="33" customFormat="1" ht="18.75" hidden="1" customHeight="1">
      <c r="A11" s="66"/>
      <c r="B11" s="66"/>
      <c r="C11" s="66"/>
      <c r="D11" s="66"/>
      <c r="E11" s="66"/>
      <c r="F11" s="66"/>
      <c r="G11" s="66"/>
      <c r="H11" s="66"/>
      <c r="L11" s="9"/>
      <c r="M11" s="192"/>
      <c r="O11" s="77"/>
      <c r="P11" s="77"/>
      <c r="Q11" s="66" t="s">
        <v>1594</v>
      </c>
      <c r="R11" s="66" t="s">
        <v>1595</v>
      </c>
      <c r="S11" s="77"/>
      <c r="T11" s="77"/>
      <c r="U11" s="740"/>
      <c r="Y11" s="66"/>
      <c r="Z11" s="66"/>
      <c r="AA11" s="66"/>
      <c r="AB11" s="66"/>
      <c r="AC11" s="66"/>
    </row>
    <row r="12" spans="1:29" s="33" customFormat="1" ht="11.25" hidden="1" customHeight="1">
      <c r="A12" s="66"/>
      <c r="B12" s="66"/>
      <c r="C12" s="66"/>
      <c r="D12" s="66"/>
      <c r="E12" s="66"/>
      <c r="F12" s="66"/>
      <c r="G12" s="66"/>
      <c r="H12" s="66"/>
      <c r="L12" s="1362"/>
      <c r="M12" s="1362"/>
      <c r="N12" s="75"/>
      <c r="O12" s="9"/>
      <c r="P12" s="9"/>
      <c r="Q12" s="9"/>
      <c r="R12" s="9"/>
      <c r="S12" s="9"/>
      <c r="T12" s="9"/>
      <c r="U12" s="351"/>
      <c r="V12" s="65" t="s">
        <v>498</v>
      </c>
      <c r="Y12" s="66"/>
      <c r="Z12" s="66"/>
      <c r="AA12" s="66"/>
      <c r="AB12" s="66"/>
      <c r="AC12" s="66"/>
    </row>
    <row r="13" spans="1:29" ht="14.25" customHeight="1">
      <c r="J13" s="27"/>
      <c r="K13" s="27"/>
      <c r="L13" s="8"/>
      <c r="M13" s="8"/>
      <c r="N13" s="8"/>
      <c r="O13" s="742"/>
      <c r="P13" s="742"/>
      <c r="Q13" s="1365"/>
      <c r="R13" s="1365"/>
      <c r="S13" s="1365"/>
      <c r="T13" s="1365"/>
      <c r="U13" s="1365"/>
      <c r="V13" s="1365"/>
    </row>
    <row r="14" spans="1:29" ht="14.25" customHeight="1">
      <c r="J14" s="27"/>
      <c r="K14" s="27"/>
      <c r="L14" s="1082" t="s">
        <v>302</v>
      </c>
      <c r="M14" s="1082"/>
      <c r="N14" s="1082"/>
      <c r="O14" s="1082"/>
      <c r="P14" s="1082"/>
      <c r="Q14" s="1082"/>
      <c r="R14" s="1082"/>
      <c r="S14" s="1082"/>
      <c r="T14" s="1082"/>
      <c r="U14" s="1082"/>
      <c r="V14" s="1082"/>
      <c r="W14" s="1082"/>
      <c r="X14" s="1082" t="s">
        <v>303</v>
      </c>
    </row>
    <row r="15" spans="1:29" ht="14.25" customHeight="1">
      <c r="J15" s="27"/>
      <c r="K15" s="27"/>
      <c r="L15" s="1176" t="s">
        <v>88</v>
      </c>
      <c r="M15" s="1176" t="s">
        <v>1596</v>
      </c>
      <c r="N15" s="34"/>
      <c r="O15" s="1176" t="s">
        <v>1597</v>
      </c>
      <c r="P15" s="1175" t="s">
        <v>1598</v>
      </c>
      <c r="Q15" s="1175" t="s">
        <v>1578</v>
      </c>
      <c r="R15" s="1175"/>
      <c r="S15" s="1175"/>
      <c r="T15" s="1175"/>
      <c r="U15" s="1175"/>
      <c r="V15" s="1176" t="s">
        <v>501</v>
      </c>
      <c r="W15" s="1366" t="s">
        <v>1579</v>
      </c>
      <c r="X15" s="1082"/>
    </row>
    <row r="16" spans="1:29" ht="25.5" customHeight="1">
      <c r="J16" s="27"/>
      <c r="K16" s="27"/>
      <c r="L16" s="1176"/>
      <c r="M16" s="1176"/>
      <c r="N16" s="34"/>
      <c r="O16" s="1176"/>
      <c r="P16" s="1175"/>
      <c r="Q16" s="1175" t="s">
        <v>1599</v>
      </c>
      <c r="R16" s="1175"/>
      <c r="S16" s="1082" t="s">
        <v>525</v>
      </c>
      <c r="T16" s="1082"/>
      <c r="U16" s="1082"/>
      <c r="V16" s="1176"/>
      <c r="W16" s="1366"/>
      <c r="X16" s="1082"/>
    </row>
    <row r="17" spans="1:29" ht="14.25" customHeight="1">
      <c r="J17" s="27"/>
      <c r="K17" s="27"/>
      <c r="L17" s="1176"/>
      <c r="M17" s="1176"/>
      <c r="N17" s="34"/>
      <c r="O17" s="1176"/>
      <c r="P17" s="1175"/>
      <c r="Q17" s="34" t="s">
        <v>562</v>
      </c>
      <c r="R17" s="34" t="s">
        <v>563</v>
      </c>
      <c r="S17" s="37" t="s">
        <v>517</v>
      </c>
      <c r="T17" s="1143" t="s">
        <v>518</v>
      </c>
      <c r="U17" s="1143"/>
      <c r="V17" s="1176"/>
      <c r="W17" s="1366"/>
      <c r="X17" s="1082"/>
    </row>
    <row r="18" spans="1:29" ht="14.25" customHeight="1">
      <c r="J18" s="27"/>
      <c r="K18" s="167">
        <v>1</v>
      </c>
      <c r="L18" s="20" t="s">
        <v>119</v>
      </c>
      <c r="M18" s="20" t="s">
        <v>103</v>
      </c>
      <c r="N18" s="741" t="s">
        <v>103</v>
      </c>
      <c r="O18" s="292">
        <f t="shared" ref="O18:T18" ca="1" si="0">OFFSET(O18,0,-1)+1</f>
        <v>3</v>
      </c>
      <c r="P18" s="292">
        <f t="shared" ca="1" si="0"/>
        <v>4</v>
      </c>
      <c r="Q18" s="292">
        <f t="shared" ca="1" si="0"/>
        <v>5</v>
      </c>
      <c r="R18" s="292">
        <f t="shared" ca="1" si="0"/>
        <v>6</v>
      </c>
      <c r="S18" s="292">
        <f t="shared" ca="1" si="0"/>
        <v>7</v>
      </c>
      <c r="T18" s="1363">
        <f t="shared" ca="1" si="0"/>
        <v>8</v>
      </c>
      <c r="U18" s="1363"/>
      <c r="V18" s="292">
        <f ca="1">OFFSET(V18,0,-2)+1</f>
        <v>9</v>
      </c>
      <c r="X18" s="292">
        <f ca="1">OFFSET(X18,0,-2)+1</f>
        <v>10</v>
      </c>
    </row>
    <row r="19" spans="1:29" ht="22.5" customHeight="1">
      <c r="A19" s="1211">
        <v>1</v>
      </c>
      <c r="J19" s="27"/>
      <c r="K19" s="27"/>
      <c r="L19" s="725" t="e">
        <f ca="1">MERGEVALUE(A19)</f>
        <v>#NAME?</v>
      </c>
      <c r="M19" s="64" t="s">
        <v>139</v>
      </c>
      <c r="N19" s="64"/>
      <c r="O19" s="1364"/>
      <c r="P19" s="1364"/>
      <c r="Q19" s="1364"/>
      <c r="R19" s="1364"/>
      <c r="S19" s="1364"/>
      <c r="T19" s="1364"/>
      <c r="U19" s="1364"/>
      <c r="V19" s="1364"/>
      <c r="W19" s="1364"/>
      <c r="X19" s="64" t="s">
        <v>470</v>
      </c>
    </row>
    <row r="20" spans="1:29" ht="22.5" customHeight="1">
      <c r="A20" s="1211"/>
      <c r="B20" s="1211">
        <v>1</v>
      </c>
      <c r="G20" s="229"/>
      <c r="H20" s="119"/>
      <c r="I20" s="218"/>
      <c r="J20" s="21"/>
      <c r="K20" s="9"/>
      <c r="L20" s="725" t="e">
        <f ca="1">MERGEVALUE(A20)&amp;"."&amp;MERGEVALUE(B20)</f>
        <v>#NAME?</v>
      </c>
      <c r="M20" s="178" t="s">
        <v>471</v>
      </c>
      <c r="N20" s="64"/>
      <c r="O20" s="1364"/>
      <c r="P20" s="1364"/>
      <c r="Q20" s="1364"/>
      <c r="R20" s="1364"/>
      <c r="S20" s="1364"/>
      <c r="T20" s="1364"/>
      <c r="U20" s="1364"/>
      <c r="V20" s="1364"/>
      <c r="W20" s="1364"/>
      <c r="X20" s="64" t="s">
        <v>472</v>
      </c>
    </row>
    <row r="21" spans="1:29" ht="22.5" customHeight="1">
      <c r="A21" s="1211"/>
      <c r="B21" s="1211"/>
      <c r="C21" s="1211">
        <v>1</v>
      </c>
      <c r="G21" s="229"/>
      <c r="H21" s="119"/>
      <c r="I21" s="6"/>
      <c r="J21" s="21"/>
      <c r="K21" s="9"/>
      <c r="L21" s="725" t="e">
        <f ca="1">MERGEVALUE(A21)&amp;"."&amp;MERGEVALUE(B21)&amp;"."&amp;MERGEVALUE(C21)</f>
        <v>#NAME?</v>
      </c>
      <c r="M21" s="179" t="s">
        <v>473</v>
      </c>
      <c r="N21" s="64"/>
      <c r="O21" s="1364"/>
      <c r="P21" s="1364"/>
      <c r="Q21" s="1364"/>
      <c r="R21" s="1364"/>
      <c r="S21" s="1364"/>
      <c r="T21" s="1364"/>
      <c r="U21" s="1364"/>
      <c r="V21" s="1364"/>
      <c r="W21" s="1364"/>
      <c r="X21" s="64" t="s">
        <v>474</v>
      </c>
    </row>
    <row r="22" spans="1:29" ht="14.25" customHeight="1">
      <c r="A22" s="1211"/>
      <c r="B22" s="1211"/>
      <c r="C22" s="1211"/>
      <c r="D22" s="1211">
        <v>1</v>
      </c>
      <c r="G22" s="229"/>
      <c r="H22" s="119"/>
      <c r="I22" s="6"/>
      <c r="J22" s="217"/>
      <c r="K22" s="9"/>
      <c r="L22" s="725" t="e">
        <f ca="1">MERGEVALUE(A22)&amp;"."&amp;MERGEVALUE(B22)&amp;"."&amp;MERGEVALUE(C22)&amp;"."&amp;MERGEVALUE(D22)</f>
        <v>#NAME?</v>
      </c>
      <c r="M22" s="180" t="s">
        <v>475</v>
      </c>
      <c r="N22" s="64"/>
      <c r="O22" s="1364"/>
      <c r="P22" s="1364"/>
      <c r="Q22" s="1364"/>
      <c r="R22" s="1364"/>
      <c r="S22" s="1364"/>
      <c r="T22" s="1364"/>
      <c r="U22" s="1364"/>
      <c r="V22" s="1364"/>
      <c r="W22" s="1364"/>
      <c r="X22" s="171" t="s">
        <v>1600</v>
      </c>
    </row>
    <row r="23" spans="1:29" ht="22.5" customHeight="1">
      <c r="A23" s="1211"/>
      <c r="B23" s="1211"/>
      <c r="C23" s="1211"/>
      <c r="D23" s="1211"/>
      <c r="E23" s="65">
        <v>1</v>
      </c>
      <c r="G23" s="229"/>
      <c r="H23" s="119"/>
      <c r="I23" s="6"/>
      <c r="J23" s="217"/>
      <c r="K23" s="74"/>
      <c r="L23" s="725" t="e">
        <f ca="1">MERGEVALUE(A23)&amp;"."&amp;MERGEVALUE(B23)&amp;"."&amp;MERGEVALUE(C23)&amp;"."&amp;MERGEVALUE(D23)&amp;"."&amp;MERGEVALUE(E23)</f>
        <v>#NAME?</v>
      </c>
      <c r="M23" s="225"/>
      <c r="N23" s="41"/>
      <c r="O23" s="35"/>
      <c r="P23" s="227"/>
      <c r="Q23" s="175"/>
      <c r="R23" s="175"/>
      <c r="S23" s="974"/>
      <c r="T23" s="308" t="s">
        <v>57</v>
      </c>
      <c r="U23" s="61"/>
      <c r="V23" s="308" t="s">
        <v>57</v>
      </c>
      <c r="W23" s="743"/>
      <c r="X23" s="1135" t="s">
        <v>1601</v>
      </c>
      <c r="Y23" s="65" t="e">
        <f ca="1">STRCHECKDATETWO(N23:W23)</f>
        <v>#NAME?</v>
      </c>
    </row>
    <row r="24" spans="1:29" ht="14.25" hidden="1" customHeight="1">
      <c r="A24" s="1211"/>
      <c r="B24" s="1211"/>
      <c r="C24" s="1211"/>
      <c r="D24" s="1211"/>
      <c r="G24" s="229"/>
      <c r="H24" s="119"/>
      <c r="I24" s="6"/>
      <c r="J24" s="217"/>
      <c r="K24" s="74"/>
      <c r="L24" s="150"/>
      <c r="M24" s="181"/>
      <c r="N24" s="170"/>
      <c r="O24" s="170"/>
      <c r="P24" s="170"/>
      <c r="Q24" s="170"/>
      <c r="R24" s="198" t="str">
        <f>S23&amp;"-"&amp;U23</f>
        <v>-</v>
      </c>
      <c r="S24" s="187"/>
      <c r="T24" s="185"/>
      <c r="U24" s="187"/>
      <c r="V24" s="170"/>
      <c r="W24" s="744"/>
      <c r="X24" s="1136"/>
    </row>
    <row r="25" spans="1:29" ht="14.25" customHeight="1">
      <c r="A25" s="1211"/>
      <c r="B25" s="1211"/>
      <c r="C25" s="1211"/>
      <c r="D25" s="1211"/>
      <c r="G25" s="229"/>
      <c r="H25" s="119"/>
      <c r="I25" s="6"/>
      <c r="J25" s="217"/>
      <c r="K25" s="74"/>
      <c r="L25" s="177"/>
      <c r="M25" s="219" t="s">
        <v>551</v>
      </c>
      <c r="N25" s="108"/>
      <c r="O25" s="194"/>
      <c r="P25" s="194"/>
      <c r="Q25" s="194"/>
      <c r="R25" s="194"/>
      <c r="S25" s="197"/>
      <c r="T25" s="221"/>
      <c r="U25" s="197"/>
      <c r="V25" s="108"/>
      <c r="W25" s="108"/>
      <c r="X25" s="1137"/>
    </row>
    <row r="26" spans="1:29" ht="14.25" customHeight="1">
      <c r="A26" s="1211"/>
      <c r="B26" s="1211"/>
      <c r="C26" s="1211"/>
      <c r="D26" s="101"/>
      <c r="E26" s="101"/>
      <c r="F26" s="101"/>
      <c r="G26" s="229"/>
      <c r="H26" s="101"/>
      <c r="I26" s="6"/>
      <c r="J26" s="224"/>
      <c r="K26" s="2"/>
      <c r="L26" s="177"/>
      <c r="M26" s="104" t="s">
        <v>1580</v>
      </c>
      <c r="N26" s="108"/>
      <c r="O26" s="194"/>
      <c r="P26" s="194"/>
      <c r="Q26" s="194"/>
      <c r="R26" s="194"/>
      <c r="S26" s="197"/>
      <c r="T26" s="221"/>
      <c r="U26" s="197"/>
      <c r="V26" s="108"/>
      <c r="W26" s="221"/>
      <c r="X26" s="745"/>
      <c r="Y26" s="101"/>
      <c r="Z26" s="101"/>
      <c r="AA26" s="101"/>
      <c r="AB26" s="101"/>
      <c r="AC26" s="101"/>
    </row>
    <row r="27" spans="1:29" ht="14.25" customHeight="1">
      <c r="A27" s="1211"/>
      <c r="B27" s="1211"/>
      <c r="C27" s="101"/>
      <c r="D27" s="101"/>
      <c r="E27" s="101"/>
      <c r="F27" s="101"/>
      <c r="G27" s="229"/>
      <c r="H27" s="101"/>
      <c r="I27" s="2"/>
      <c r="J27" s="224"/>
      <c r="K27" s="2"/>
      <c r="L27" s="177"/>
      <c r="M27" s="108" t="s">
        <v>1581</v>
      </c>
      <c r="N27" s="108"/>
      <c r="O27" s="194"/>
      <c r="P27" s="194"/>
      <c r="Q27" s="194"/>
      <c r="R27" s="194"/>
      <c r="S27" s="197"/>
      <c r="T27" s="221"/>
      <c r="U27" s="197"/>
      <c r="V27" s="108"/>
      <c r="W27" s="221"/>
      <c r="X27" s="195"/>
      <c r="Y27" s="101"/>
      <c r="Z27" s="101"/>
      <c r="AA27" s="101"/>
      <c r="AB27" s="101"/>
      <c r="AC27" s="101"/>
    </row>
    <row r="28" spans="1:29" ht="14.25" customHeight="1">
      <c r="A28" s="1211"/>
      <c r="B28" s="101"/>
      <c r="C28" s="101"/>
      <c r="D28" s="101"/>
      <c r="E28" s="101"/>
      <c r="F28" s="101"/>
      <c r="G28" s="229"/>
      <c r="H28" s="101"/>
      <c r="I28" s="2"/>
      <c r="J28" s="224"/>
      <c r="K28" s="2"/>
      <c r="L28" s="177"/>
      <c r="M28" s="107" t="s">
        <v>114</v>
      </c>
      <c r="N28" s="108"/>
      <c r="O28" s="194"/>
      <c r="P28" s="194"/>
      <c r="Q28" s="194"/>
      <c r="R28" s="194"/>
      <c r="S28" s="197"/>
      <c r="T28" s="221"/>
      <c r="U28" s="197"/>
      <c r="V28" s="108"/>
      <c r="W28" s="221"/>
      <c r="X28" s="195"/>
      <c r="Y28" s="101"/>
      <c r="Z28" s="101"/>
      <c r="AA28" s="101"/>
      <c r="AB28" s="101"/>
      <c r="AC28" s="101"/>
    </row>
    <row r="29" spans="1:29" ht="14.25" customHeight="1">
      <c r="A29"/>
      <c r="B29"/>
      <c r="C29"/>
      <c r="D29"/>
      <c r="E29"/>
      <c r="F29"/>
      <c r="G29" s="220"/>
      <c r="H29" s="2"/>
      <c r="I29" s="44"/>
      <c r="J29" s="224"/>
      <c r="K29"/>
      <c r="L29" s="177"/>
      <c r="M29" s="50" t="s">
        <v>447</v>
      </c>
      <c r="N29" s="108"/>
      <c r="O29" s="194"/>
      <c r="P29" s="194"/>
      <c r="Q29" s="194"/>
      <c r="R29" s="194"/>
      <c r="S29" s="197"/>
      <c r="T29" s="221"/>
      <c r="U29" s="197"/>
      <c r="V29" s="108"/>
      <c r="W29" s="221"/>
      <c r="X29" s="195"/>
      <c r="Y29" s="101"/>
      <c r="Z29" s="101"/>
      <c r="AA29" s="101"/>
      <c r="AB29" s="101"/>
      <c r="AC29" s="101"/>
    </row>
    <row r="31" spans="1:29" ht="14.25" customHeight="1">
      <c r="L31" s="1">
        <v>1</v>
      </c>
      <c r="M31" s="1286" t="s">
        <v>1602</v>
      </c>
      <c r="N31" s="1286"/>
      <c r="O31" s="1286"/>
      <c r="P31" s="1286"/>
      <c r="Q31" s="1286"/>
      <c r="R31" s="1286"/>
      <c r="S31" s="1286"/>
      <c r="T31" s="1286"/>
      <c r="U31" s="1286"/>
      <c r="V31" s="1286"/>
      <c r="W31" s="1286"/>
      <c r="X31" s="1286"/>
      <c r="Y31" s="746"/>
      <c r="Z31" s="1"/>
      <c r="AA31" s="1"/>
      <c r="AB31" s="1"/>
      <c r="AC31" s="1"/>
    </row>
    <row r="32" spans="1:29" ht="14.25" customHeight="1">
      <c r="M32" s="641"/>
      <c r="N32" s="641"/>
      <c r="O32" s="641"/>
      <c r="P32" s="641"/>
      <c r="Q32" s="641"/>
      <c r="R32" s="641"/>
      <c r="S32" s="641"/>
      <c r="T32" s="641"/>
      <c r="U32" s="641"/>
      <c r="V32" s="641"/>
      <c r="W32" s="641"/>
      <c r="X32" s="641"/>
      <c r="Y32" s="228"/>
      <c r="Z32" s="228"/>
      <c r="AA32" s="228"/>
      <c r="AB32" s="228"/>
      <c r="AC32" s="228"/>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1A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1A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1A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1A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1A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1A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1A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1A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2DFE-CE67-A897-1519-678E62CA2C37}">
  <sheetPr>
    <tabColor theme="6" tint="0.39997558519241921"/>
  </sheetPr>
  <dimension ref="A1:L42"/>
  <sheetViews>
    <sheetView showGridLines="0" topLeftCell="C13" zoomScale="90" workbookViewId="0"/>
  </sheetViews>
  <sheetFormatPr defaultColWidth="10.5703125" defaultRowHeight="14.25" customHeight="1"/>
  <cols>
    <col min="1" max="1" width="9.140625" style="519" hidden="1" customWidth="1"/>
    <col min="2" max="2" width="9.140625" style="60" hidden="1" customWidth="1"/>
    <col min="3" max="3" width="3.7109375" style="28" customWidth="1"/>
    <col min="4" max="4" width="6.28515625" style="9" customWidth="1"/>
    <col min="5" max="5" width="63.42578125" style="9" customWidth="1"/>
    <col min="6" max="6" width="1.7109375" style="9" hidden="1" customWidth="1"/>
    <col min="7" max="8" width="35.7109375" style="9" customWidth="1"/>
    <col min="9" max="9" width="91.5703125" style="9" customWidth="1"/>
    <col min="10" max="10" width="68.85546875" style="9" customWidth="1"/>
    <col min="11" max="12" width="10.5703125" style="66"/>
  </cols>
  <sheetData>
    <row r="1" spans="1:12" ht="14.25" hidden="1" customHeight="1"/>
    <row r="2" spans="1:12" s="9" customFormat="1" ht="18.75" hidden="1" customHeight="1">
      <c r="A2" s="59"/>
      <c r="B2" s="60"/>
      <c r="C2" s="970" t="s">
        <v>104</v>
      </c>
      <c r="D2" s="61"/>
      <c r="E2" s="103"/>
      <c r="F2" s="37"/>
      <c r="G2" s="37" t="s">
        <v>308</v>
      </c>
      <c r="H2" s="114"/>
      <c r="K2" s="66"/>
      <c r="L2" s="66"/>
    </row>
    <row r="3" spans="1:12" s="9" customFormat="1" ht="14.25" hidden="1" customHeight="1">
      <c r="A3" s="519"/>
      <c r="B3" s="60"/>
      <c r="C3" s="28"/>
      <c r="K3" s="66"/>
      <c r="L3" s="66"/>
    </row>
    <row r="4" spans="1:12" s="9" customFormat="1" ht="18.75" hidden="1" customHeight="1">
      <c r="A4" s="59"/>
      <c r="B4" s="60"/>
      <c r="C4" s="970" t="s">
        <v>104</v>
      </c>
      <c r="D4" s="61"/>
      <c r="E4" s="99" t="s">
        <v>1603</v>
      </c>
      <c r="F4" s="37"/>
      <c r="G4" s="148"/>
      <c r="H4" s="37" t="s">
        <v>308</v>
      </c>
      <c r="K4" s="66"/>
      <c r="L4" s="66"/>
    </row>
    <row r="5" spans="1:12" s="9" customFormat="1" ht="14.25" hidden="1" customHeight="1">
      <c r="A5" s="519"/>
      <c r="B5" s="60"/>
      <c r="C5" s="28"/>
      <c r="K5" s="66"/>
      <c r="L5" s="66"/>
    </row>
    <row r="6" spans="1:12" s="9" customFormat="1" ht="18.75" hidden="1" customHeight="1">
      <c r="A6" s="59"/>
      <c r="B6" s="60"/>
      <c r="C6" s="970" t="s">
        <v>104</v>
      </c>
      <c r="D6" s="61"/>
      <c r="E6" s="109" t="s">
        <v>1604</v>
      </c>
      <c r="F6" s="37"/>
      <c r="G6" s="148"/>
      <c r="H6" s="37" t="s">
        <v>308</v>
      </c>
      <c r="K6" s="66"/>
      <c r="L6" s="66"/>
    </row>
    <row r="7" spans="1:12" s="9" customFormat="1" ht="14.25" hidden="1" customHeight="1">
      <c r="A7" s="519"/>
      <c r="B7" s="60"/>
      <c r="C7" s="28"/>
      <c r="K7" s="66"/>
      <c r="L7" s="66"/>
    </row>
    <row r="8" spans="1:12" s="9" customFormat="1" ht="18.75" hidden="1" customHeight="1">
      <c r="A8" s="59"/>
      <c r="B8" s="60"/>
      <c r="C8" s="970" t="s">
        <v>104</v>
      </c>
      <c r="D8" s="61"/>
      <c r="E8" s="109" t="s">
        <v>1605</v>
      </c>
      <c r="F8" s="37"/>
      <c r="G8" s="148"/>
      <c r="H8" s="37" t="s">
        <v>308</v>
      </c>
      <c r="K8" s="66"/>
      <c r="L8" s="66"/>
    </row>
    <row r="9" spans="1:12" s="9" customFormat="1" ht="14.25" hidden="1" customHeight="1">
      <c r="A9" s="519"/>
      <c r="B9" s="60"/>
      <c r="C9" s="28"/>
      <c r="K9" s="66"/>
      <c r="L9" s="66"/>
    </row>
    <row r="10" spans="1:12" s="9" customFormat="1" ht="18.75" hidden="1" customHeight="1">
      <c r="A10" s="59"/>
      <c r="B10" s="60"/>
      <c r="C10" s="970" t="s">
        <v>104</v>
      </c>
      <c r="D10" s="61"/>
      <c r="E10" s="109" t="s">
        <v>1606</v>
      </c>
      <c r="F10" s="37"/>
      <c r="G10" s="110"/>
      <c r="H10" s="37" t="s">
        <v>308</v>
      </c>
      <c r="K10" s="66"/>
      <c r="L10" s="66" t="s">
        <v>1607</v>
      </c>
    </row>
    <row r="11" spans="1:12" ht="14.25" hidden="1" customHeight="1"/>
    <row r="12" spans="1:12" ht="14.25" hidden="1" customHeight="1"/>
    <row r="13" spans="1:12" ht="14.25" customHeight="1">
      <c r="C13" s="27"/>
      <c r="D13" s="8"/>
      <c r="E13" s="8"/>
      <c r="F13" s="8"/>
      <c r="G13" s="8"/>
      <c r="H13" s="18"/>
      <c r="I13" s="18"/>
    </row>
    <row r="14" spans="1:12" ht="30" customHeight="1">
      <c r="C14" s="27"/>
      <c r="D14" s="1075"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1076"/>
      <c r="F14" s="1076"/>
      <c r="G14" s="1076"/>
      <c r="H14" s="1077"/>
    </row>
    <row r="15" spans="1:12" s="9" customFormat="1" ht="14.25" customHeight="1">
      <c r="A15" s="519"/>
      <c r="B15" s="60"/>
      <c r="C15" s="27"/>
      <c r="D15" s="1191" t="str">
        <f>IF(org=0,"Не определено",org)</f>
        <v>ООО "Концессионная Коммунальная Компания"</v>
      </c>
      <c r="E15" s="1192"/>
      <c r="F15" s="1192"/>
      <c r="G15" s="1192"/>
      <c r="H15" s="1193"/>
      <c r="J15" s="502"/>
      <c r="K15" s="66"/>
      <c r="L15" s="66"/>
    </row>
    <row r="16" spans="1:12" ht="14.25" customHeight="1">
      <c r="C16" s="27"/>
      <c r="D16" s="8"/>
      <c r="E16" s="12"/>
      <c r="F16" s="12"/>
      <c r="G16" s="12"/>
      <c r="H16" s="442"/>
      <c r="I16" s="98"/>
    </row>
    <row r="17" spans="1:12" s="9" customFormat="1" ht="14.25" hidden="1" customHeight="1">
      <c r="A17" s="519"/>
      <c r="B17" s="60"/>
      <c r="C17" s="27"/>
      <c r="D17" s="8"/>
      <c r="E17" s="12"/>
      <c r="F17" s="12"/>
      <c r="G17" s="12"/>
      <c r="H17" s="442"/>
      <c r="I17" s="98"/>
      <c r="K17" s="66"/>
      <c r="L17" s="66"/>
    </row>
    <row r="18" spans="1:12" ht="21" customHeight="1">
      <c r="C18" s="27"/>
      <c r="D18" s="1176" t="s">
        <v>302</v>
      </c>
      <c r="E18" s="1176"/>
      <c r="F18" s="1176"/>
      <c r="G18" s="1176"/>
      <c r="H18" s="1176"/>
      <c r="I18" s="1274" t="s">
        <v>303</v>
      </c>
    </row>
    <row r="19" spans="1:12" ht="21" customHeight="1">
      <c r="C19" s="27"/>
      <c r="D19" s="34" t="s">
        <v>88</v>
      </c>
      <c r="E19" s="37" t="s">
        <v>304</v>
      </c>
      <c r="F19" s="37"/>
      <c r="G19" s="37" t="s">
        <v>305</v>
      </c>
      <c r="H19" s="37" t="s">
        <v>394</v>
      </c>
      <c r="I19" s="1274"/>
    </row>
    <row r="20" spans="1:12" ht="12" customHeight="1">
      <c r="C20" s="27"/>
      <c r="D20" s="20" t="s">
        <v>119</v>
      </c>
      <c r="E20" s="20" t="s">
        <v>103</v>
      </c>
      <c r="F20" s="20"/>
      <c r="G20" s="20" t="s">
        <v>90</v>
      </c>
      <c r="H20" s="20" t="s">
        <v>91</v>
      </c>
      <c r="I20" s="20" t="s">
        <v>120</v>
      </c>
    </row>
    <row r="21" spans="1:12" ht="14.25" customHeight="1">
      <c r="A21" s="59"/>
      <c r="C21" s="27"/>
      <c r="D21" s="61">
        <v>1</v>
      </c>
      <c r="E21" s="1371" t="s">
        <v>1608</v>
      </c>
      <c r="F21" s="1371"/>
      <c r="G21" s="1371"/>
      <c r="H21" s="1371"/>
      <c r="I21" s="111"/>
    </row>
    <row r="22" spans="1:12" ht="20.25" customHeight="1">
      <c r="A22" s="59"/>
      <c r="C22" s="27"/>
      <c r="D22" s="61" t="s">
        <v>440</v>
      </c>
      <c r="E22" s="99" t="s">
        <v>1609</v>
      </c>
      <c r="F22" s="37"/>
      <c r="G22" s="977"/>
      <c r="H22" s="37" t="s">
        <v>308</v>
      </c>
      <c r="I22" s="64" t="s">
        <v>1610</v>
      </c>
    </row>
    <row r="23" spans="1:12" ht="45" customHeight="1">
      <c r="A23" s="59"/>
      <c r="C23" s="27"/>
      <c r="D23" s="61" t="s">
        <v>455</v>
      </c>
      <c r="E23" s="99" t="s">
        <v>1611</v>
      </c>
      <c r="F23" s="37"/>
      <c r="G23" s="148"/>
      <c r="H23" s="114"/>
      <c r="I23" s="149" t="s">
        <v>1612</v>
      </c>
    </row>
    <row r="24" spans="1:12" ht="14.25" customHeight="1">
      <c r="A24" s="59"/>
      <c r="B24" s="60">
        <v>3</v>
      </c>
      <c r="C24" s="27"/>
      <c r="D24" s="61">
        <v>2</v>
      </c>
      <c r="E24" s="1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7"/>
      <c r="G24" s="37" t="s">
        <v>308</v>
      </c>
      <c r="H24" s="114"/>
      <c r="I24" s="150" t="s">
        <v>1568</v>
      </c>
    </row>
    <row r="25" spans="1:12" ht="46.5" customHeight="1">
      <c r="A25" s="59"/>
      <c r="C25" s="27"/>
      <c r="D25" s="61">
        <v>3</v>
      </c>
      <c r="E25" s="137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371"/>
      <c r="G25" s="1371"/>
      <c r="H25" s="1371"/>
      <c r="I25" s="111"/>
    </row>
    <row r="26" spans="1:12" ht="14.25" customHeight="1">
      <c r="A26" s="59"/>
      <c r="C26" s="27"/>
      <c r="D26" s="61" t="s">
        <v>328</v>
      </c>
      <c r="E26" s="103"/>
      <c r="F26" s="37"/>
      <c r="G26" s="37" t="s">
        <v>308</v>
      </c>
      <c r="H26" s="114"/>
      <c r="I26" s="1135" t="s">
        <v>1613</v>
      </c>
    </row>
    <row r="27" spans="1:12" ht="15" customHeight="1">
      <c r="A27" s="59" t="s">
        <v>119</v>
      </c>
      <c r="C27" s="27"/>
      <c r="D27" s="38"/>
      <c r="E27" s="107" t="s">
        <v>463</v>
      </c>
      <c r="F27" s="108"/>
      <c r="G27" s="108"/>
      <c r="H27" s="105"/>
      <c r="I27" s="1137"/>
    </row>
    <row r="28" spans="1:12" ht="38.25" customHeight="1">
      <c r="A28" s="59"/>
      <c r="B28" s="60">
        <v>3</v>
      </c>
      <c r="C28" s="27"/>
      <c r="D28" s="61">
        <v>4</v>
      </c>
      <c r="E28" s="137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371"/>
      <c r="G28" s="1371"/>
      <c r="H28" s="1371"/>
      <c r="I28" s="111"/>
    </row>
    <row r="29" spans="1:12" ht="20.25" customHeight="1">
      <c r="A29" s="59"/>
      <c r="C29" s="27"/>
      <c r="D29" s="61" t="s">
        <v>1473</v>
      </c>
      <c r="E29" s="99" t="s">
        <v>1603</v>
      </c>
      <c r="F29" s="37"/>
      <c r="G29" s="148"/>
      <c r="H29" s="37" t="s">
        <v>308</v>
      </c>
      <c r="I29" s="1135" t="s">
        <v>1614</v>
      </c>
    </row>
    <row r="30" spans="1:12" ht="15" customHeight="1">
      <c r="A30" s="59" t="s">
        <v>103</v>
      </c>
      <c r="C30" s="27"/>
      <c r="D30" s="38"/>
      <c r="E30" s="107" t="s">
        <v>463</v>
      </c>
      <c r="F30" s="108"/>
      <c r="G30" s="108"/>
      <c r="H30" s="105"/>
      <c r="I30" s="1137"/>
    </row>
    <row r="31" spans="1:12" ht="30" customHeight="1">
      <c r="A31" s="59"/>
      <c r="B31" s="60">
        <v>3</v>
      </c>
      <c r="C31" s="27"/>
      <c r="D31" s="61">
        <v>5</v>
      </c>
      <c r="E31" s="137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371"/>
      <c r="G31" s="1371"/>
      <c r="H31" s="1371"/>
      <c r="I31" s="111"/>
    </row>
    <row r="32" spans="1:12" ht="26.25" customHeight="1">
      <c r="A32" s="59"/>
      <c r="C32" s="27"/>
      <c r="D32" s="61" t="s">
        <v>317</v>
      </c>
      <c r="E32" s="13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372"/>
      <c r="G32" s="1372"/>
      <c r="H32" s="1372"/>
      <c r="I32" s="111"/>
    </row>
    <row r="33" spans="1:12" ht="14.25" customHeight="1">
      <c r="A33" s="59"/>
      <c r="C33" s="27"/>
      <c r="D33" s="61" t="s">
        <v>1480</v>
      </c>
      <c r="E33" s="109" t="s">
        <v>1604</v>
      </c>
      <c r="F33" s="37"/>
      <c r="G33" s="148"/>
      <c r="H33" s="37" t="s">
        <v>308</v>
      </c>
      <c r="I33" s="1135" t="s">
        <v>1615</v>
      </c>
    </row>
    <row r="34" spans="1:12" ht="15" customHeight="1">
      <c r="A34" s="59" t="s">
        <v>90</v>
      </c>
      <c r="C34" s="27"/>
      <c r="D34" s="38"/>
      <c r="E34" s="108" t="s">
        <v>463</v>
      </c>
      <c r="F34" s="104"/>
      <c r="G34" s="104"/>
      <c r="H34" s="105"/>
      <c r="I34" s="1137"/>
    </row>
    <row r="35" spans="1:12" ht="24" customHeight="1">
      <c r="A35" s="59"/>
      <c r="C35" s="27"/>
      <c r="D35" s="61" t="s">
        <v>319</v>
      </c>
      <c r="E35" s="13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372"/>
      <c r="G35" s="1372"/>
      <c r="H35" s="1372"/>
      <c r="I35" s="111"/>
    </row>
    <row r="36" spans="1:12" ht="14.25" customHeight="1">
      <c r="A36" s="59"/>
      <c r="C36" s="27"/>
      <c r="D36" s="61" t="s">
        <v>1616</v>
      </c>
      <c r="E36" s="109" t="s">
        <v>1605</v>
      </c>
      <c r="F36" s="37"/>
      <c r="G36" s="148"/>
      <c r="H36" s="37" t="s">
        <v>308</v>
      </c>
      <c r="I36" s="1113" t="s">
        <v>1617</v>
      </c>
    </row>
    <row r="37" spans="1:12" ht="15" customHeight="1">
      <c r="A37" s="59" t="s">
        <v>91</v>
      </c>
      <c r="C37" s="27"/>
      <c r="D37" s="38"/>
      <c r="E37" s="108" t="s">
        <v>463</v>
      </c>
      <c r="F37" s="104"/>
      <c r="G37" s="104"/>
      <c r="H37" s="105"/>
      <c r="I37" s="1113"/>
    </row>
    <row r="38" spans="1:12" ht="26.25" customHeight="1">
      <c r="A38" s="59"/>
      <c r="C38" s="27"/>
      <c r="D38" s="61" t="s">
        <v>322</v>
      </c>
      <c r="E38" s="13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372"/>
      <c r="G38" s="1372"/>
      <c r="H38" s="1372"/>
      <c r="I38" s="111"/>
    </row>
    <row r="39" spans="1:12" ht="14.25" customHeight="1">
      <c r="A39" s="59"/>
      <c r="C39" s="27"/>
      <c r="D39" s="61" t="s">
        <v>1618</v>
      </c>
      <c r="E39" s="109" t="s">
        <v>1606</v>
      </c>
      <c r="F39" s="37"/>
      <c r="G39" s="110"/>
      <c r="H39" s="37" t="s">
        <v>308</v>
      </c>
      <c r="I39" s="1135" t="s">
        <v>1619</v>
      </c>
      <c r="L39" s="66" t="s">
        <v>1607</v>
      </c>
    </row>
    <row r="40" spans="1:12" ht="15" customHeight="1">
      <c r="A40" s="59" t="s">
        <v>120</v>
      </c>
      <c r="C40" s="27"/>
      <c r="D40" s="38"/>
      <c r="E40" s="108" t="s">
        <v>463</v>
      </c>
      <c r="F40" s="104"/>
      <c r="G40" s="104"/>
      <c r="H40" s="105"/>
      <c r="I40" s="1137"/>
    </row>
    <row r="41" spans="1:12" s="2" customFormat="1" ht="3" customHeight="1">
      <c r="A41" s="59"/>
      <c r="K41" s="101"/>
      <c r="L41" s="101"/>
    </row>
    <row r="42" spans="1:12" ht="24.75" customHeight="1">
      <c r="D42" s="204" t="s">
        <v>519</v>
      </c>
      <c r="E42" s="1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86"/>
      <c r="G42" s="1286"/>
      <c r="H42" s="1286"/>
      <c r="I42" s="1286"/>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1B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1B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1B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1B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81842-9661-DC1E-D209-7C4B9554EE7B}">
  <sheetPr>
    <tabColor theme="6" tint="0.39997558519241921"/>
  </sheetPr>
  <dimension ref="A1:Q16"/>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5" width="38.140625" style="9" customWidth="1"/>
    <col min="6" max="7" width="35.7109375" style="9" customWidth="1"/>
    <col min="8" max="8" width="89.5703125" style="9" customWidth="1"/>
    <col min="9" max="9" width="10.5703125" style="9"/>
    <col min="10" max="11" width="10.5703125" style="66"/>
    <col min="12" max="17" width="10.5703125" style="9"/>
  </cols>
  <sheetData>
    <row r="1" spans="1:17" ht="14.25" hidden="1" customHeight="1">
      <c r="N1" s="147"/>
      <c r="O1" s="147"/>
      <c r="Q1" s="147"/>
    </row>
    <row r="2" spans="1:17" s="9" customFormat="1" ht="18.75" hidden="1" customHeight="1">
      <c r="A2" s="2"/>
      <c r="B2" s="60"/>
      <c r="C2" s="970" t="s">
        <v>104</v>
      </c>
      <c r="D2" s="61"/>
      <c r="E2" s="510"/>
      <c r="F2" s="148"/>
      <c r="G2" s="114"/>
      <c r="I2" s="66"/>
      <c r="J2" s="66"/>
    </row>
    <row r="3" spans="1:17" ht="14.25" hidden="1" customHeight="1"/>
    <row r="4" spans="1:17" ht="6" customHeight="1">
      <c r="C4" s="27"/>
      <c r="D4" s="8"/>
      <c r="E4" s="8"/>
      <c r="F4" s="8"/>
      <c r="G4" s="18"/>
      <c r="H4" s="18"/>
    </row>
    <row r="5" spans="1:17" ht="54.75" customHeight="1">
      <c r="C5" s="27"/>
      <c r="D5" s="1075"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1076"/>
      <c r="F5" s="1076"/>
      <c r="G5" s="1077"/>
      <c r="H5" s="153"/>
    </row>
    <row r="6" spans="1:17" s="9" customFormat="1" ht="17.25" customHeight="1">
      <c r="A6" s="32"/>
      <c r="B6" s="60"/>
      <c r="C6" s="27"/>
      <c r="D6" s="1191" t="str">
        <f>IF(org=0,"Не определено",org)</f>
        <v>ООО "Концессионная Коммунальная Компания"</v>
      </c>
      <c r="E6" s="1192"/>
      <c r="F6" s="1192"/>
      <c r="G6" s="1193"/>
      <c r="H6" s="153"/>
      <c r="J6" s="66"/>
      <c r="K6" s="66"/>
    </row>
    <row r="7" spans="1:17" ht="14.25" customHeight="1">
      <c r="C7" s="27"/>
      <c r="D7" s="8"/>
      <c r="E7" s="12"/>
      <c r="F7" s="12"/>
      <c r="G7" s="442"/>
      <c r="H7" s="98"/>
    </row>
    <row r="8" spans="1:17" ht="14.25" customHeight="1">
      <c r="C8" s="27"/>
      <c r="D8" s="1176" t="s">
        <v>302</v>
      </c>
      <c r="E8" s="1176"/>
      <c r="F8" s="1176"/>
      <c r="G8" s="1176"/>
      <c r="H8" s="1274" t="s">
        <v>303</v>
      </c>
    </row>
    <row r="9" spans="1:17" ht="14.25" customHeight="1">
      <c r="C9" s="27"/>
      <c r="D9" s="34" t="s">
        <v>88</v>
      </c>
      <c r="E9" s="37" t="s">
        <v>304</v>
      </c>
      <c r="F9" s="37" t="s">
        <v>305</v>
      </c>
      <c r="G9" s="37" t="s">
        <v>394</v>
      </c>
      <c r="H9" s="1274"/>
    </row>
    <row r="10" spans="1:17" ht="14.25" customHeight="1">
      <c r="A10" s="2"/>
      <c r="C10" s="27"/>
      <c r="D10" s="61" t="s">
        <v>119</v>
      </c>
      <c r="E10" s="12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48"/>
      <c r="G10" s="114"/>
      <c r="H10" s="1135" t="s">
        <v>1620</v>
      </c>
    </row>
    <row r="11" spans="1:17" ht="14.25" customHeight="1">
      <c r="A11" s="2"/>
      <c r="C11" s="27"/>
      <c r="D11" s="61" t="s">
        <v>103</v>
      </c>
      <c r="E11" s="12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48"/>
      <c r="G11" s="114"/>
      <c r="H11" s="1136"/>
    </row>
    <row r="12" spans="1:17" ht="22.5" customHeight="1">
      <c r="A12" s="2"/>
      <c r="C12" s="21"/>
      <c r="D12" s="61" t="s">
        <v>90</v>
      </c>
      <c r="E12" s="120" t="str">
        <f>"Сведения о планировании закупочных процедур"&amp;IF(TEMPLATE_SPHERE="TKO"," &lt;1&gt;","")</f>
        <v>Сведения о планировании закупочных процедур</v>
      </c>
      <c r="F12" s="148"/>
      <c r="G12" s="114"/>
      <c r="H12" s="11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6"/>
      <c r="K12" s="9"/>
    </row>
    <row r="13" spans="1:17" ht="22.5" customHeight="1">
      <c r="A13" s="2"/>
      <c r="C13" s="21"/>
      <c r="D13" s="61" t="s">
        <v>91</v>
      </c>
      <c r="E13" s="120" t="str">
        <f>"Сведения о результатах проведения закупочных процедур"&amp;IF(TEMPLATE_SPHERE="TKO"," &lt;1&gt;","")</f>
        <v>Сведения о результатах проведения закупочных процедур</v>
      </c>
      <c r="F13" s="148"/>
      <c r="G13" s="114"/>
      <c r="H13" s="1136"/>
      <c r="I13" s="66"/>
      <c r="K13" s="9"/>
    </row>
    <row r="14" spans="1:17" ht="14.25" customHeight="1">
      <c r="A14" s="2"/>
      <c r="C14" s="27"/>
      <c r="D14" s="38"/>
      <c r="E14" s="50" t="s">
        <v>463</v>
      </c>
      <c r="F14" s="108"/>
      <c r="G14" s="105"/>
      <c r="H14" s="1137"/>
    </row>
    <row r="15" spans="1:17" s="9" customFormat="1" ht="14.25" customHeight="1">
      <c r="A15" s="2"/>
      <c r="B15" s="60"/>
      <c r="C15" s="27"/>
      <c r="D15" s="237"/>
      <c r="E15" s="933"/>
      <c r="F15" s="934"/>
      <c r="G15" s="935"/>
      <c r="H15" s="936"/>
      <c r="J15" s="66"/>
      <c r="K15" s="66"/>
    </row>
    <row r="16" spans="1:17" ht="21.75" customHeight="1">
      <c r="D16" s="204" t="s">
        <v>519</v>
      </c>
      <c r="E16" s="1286" t="s">
        <v>1621</v>
      </c>
      <c r="F16" s="1286"/>
      <c r="G16" s="1286"/>
      <c r="H16" s="128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1C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1C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7854C-2BD6-C1D1-AA53-49CBF91FB9B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ECDB-045A-B065-FA86-660B19AD5E51}">
  <sheetPr>
    <tabColor theme="2" tint="-9.9978637043366805E-2"/>
  </sheetPr>
  <dimension ref="A1:AE29"/>
  <sheetViews>
    <sheetView showGridLines="0" topLeftCell="S8" zoomScale="90" workbookViewId="0">
      <selection activeCell="S8" sqref="S8"/>
    </sheetView>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47.85546875" style="9" customWidth="1"/>
    <col min="6" max="6" width="9.5703125" style="9" customWidth="1"/>
    <col min="7" max="7" width="25.7109375" style="9" hidden="1" customWidth="1"/>
    <col min="8" max="8" width="34" style="9" hidden="1" customWidth="1"/>
    <col min="9" max="9" width="25.7109375" style="9" customWidth="1"/>
    <col min="10" max="10" width="34" style="9" customWidth="1"/>
    <col min="11" max="11" width="25.7109375" style="9" customWidth="1"/>
    <col min="12" max="12" width="34" style="9" customWidth="1"/>
    <col min="13" max="13" width="25.7109375" style="9" customWidth="1"/>
    <col min="14" max="14" width="34" style="9" customWidth="1"/>
    <col min="15" max="15" width="25.7109375" style="9" customWidth="1"/>
    <col min="16" max="16" width="34" style="9" customWidth="1"/>
    <col min="17" max="17" width="25.7109375" style="9" customWidth="1"/>
    <col min="18" max="18" width="34" style="9" customWidth="1"/>
    <col min="19" max="19" width="25.7109375" style="9" customWidth="1"/>
    <col min="20" max="20" width="34" style="9" customWidth="1"/>
    <col min="21" max="21" width="50.85546875" style="60" customWidth="1"/>
    <col min="22" max="30" width="10.5703125" style="9"/>
    <col min="31" max="31" width="10.5703125" style="313"/>
  </cols>
  <sheetData>
    <row r="1" spans="1:31" s="60" customFormat="1" ht="15" hidden="1" customHeight="1">
      <c r="C1" s="312"/>
      <c r="G1" s="60">
        <v>4</v>
      </c>
      <c r="I1" s="60">
        <v>4</v>
      </c>
      <c r="K1" s="60">
        <v>4</v>
      </c>
      <c r="M1" s="60">
        <v>4</v>
      </c>
      <c r="O1" s="60">
        <v>4</v>
      </c>
      <c r="Q1" s="60">
        <v>4</v>
      </c>
      <c r="S1" s="60">
        <v>4</v>
      </c>
      <c r="AE1" s="248"/>
    </row>
    <row r="2" spans="1:31" s="9" customFormat="1" ht="15" hidden="1" customHeight="1">
      <c r="A2" s="6"/>
      <c r="C2" s="84"/>
      <c r="D2" s="53"/>
      <c r="E2" s="391"/>
      <c r="F2" s="56"/>
      <c r="G2" s="76"/>
      <c r="H2" s="76"/>
      <c r="I2" s="76"/>
      <c r="J2" s="76"/>
      <c r="K2" s="76"/>
      <c r="L2" s="76"/>
      <c r="M2" s="76"/>
      <c r="N2" s="76"/>
      <c r="O2" s="76"/>
      <c r="P2" s="76"/>
      <c r="Q2" s="76"/>
      <c r="R2" s="76"/>
      <c r="S2" s="76"/>
      <c r="T2" s="76"/>
      <c r="AE2" s="313"/>
    </row>
    <row r="3" spans="1:31" s="60" customFormat="1" ht="15" hidden="1" customHeight="1">
      <c r="C3" s="312"/>
      <c r="AE3" s="248"/>
    </row>
    <row r="5" spans="1:31" ht="63" customHeight="1">
      <c r="D5" s="1075" t="s">
        <v>1622</v>
      </c>
      <c r="E5" s="1076"/>
      <c r="F5" s="1076"/>
      <c r="G5" s="1076"/>
      <c r="H5" s="1076"/>
      <c r="I5" s="1076"/>
      <c r="J5" s="1077"/>
      <c r="K5" s="923"/>
      <c r="L5" s="923"/>
      <c r="M5" s="923"/>
      <c r="N5" s="923"/>
      <c r="O5" s="923"/>
      <c r="P5" s="923"/>
      <c r="Q5" s="923"/>
      <c r="R5" s="923"/>
      <c r="S5" s="923"/>
      <c r="T5" s="923"/>
    </row>
    <row r="6" spans="1:31" ht="15" customHeight="1">
      <c r="D6" s="1191" t="str">
        <f>IF(org=0,"Не определено",org)</f>
        <v>ООО "Концессионная Коммунальная Компания"</v>
      </c>
      <c r="E6" s="1192"/>
      <c r="F6" s="1192"/>
      <c r="G6" s="1192"/>
      <c r="H6" s="1192"/>
      <c r="I6" s="1192"/>
      <c r="J6" s="1193"/>
      <c r="K6" s="1041"/>
      <c r="L6" s="1041"/>
      <c r="M6" s="1041"/>
      <c r="N6" s="1041"/>
      <c r="O6" s="1041"/>
      <c r="P6" s="1041"/>
      <c r="Q6" s="1041"/>
      <c r="R6" s="1041"/>
      <c r="S6" s="1041"/>
      <c r="T6" s="1041"/>
    </row>
    <row r="7" spans="1:31" ht="15" customHeight="1">
      <c r="D7" s="442"/>
      <c r="G7" s="60">
        <v>22</v>
      </c>
      <c r="I7" s="60">
        <v>1</v>
      </c>
      <c r="J7" s="442"/>
      <c r="K7" s="60" t="s">
        <v>18</v>
      </c>
      <c r="M7" s="60" t="s">
        <v>18</v>
      </c>
      <c r="O7" s="60" t="s">
        <v>18</v>
      </c>
      <c r="Q7" s="60" t="s">
        <v>18</v>
      </c>
      <c r="S7" s="60" t="s">
        <v>18</v>
      </c>
    </row>
    <row r="8" spans="1:31" s="9" customFormat="1" ht="0.75" customHeight="1">
      <c r="A8" s="6"/>
      <c r="C8" s="84"/>
      <c r="G8" s="60"/>
      <c r="H8" s="442"/>
      <c r="I8" s="60" t="s">
        <v>126</v>
      </c>
      <c r="J8" s="442"/>
      <c r="K8" s="60" t="s">
        <v>133</v>
      </c>
      <c r="L8" s="442"/>
      <c r="M8" s="60" t="s">
        <v>130</v>
      </c>
      <c r="N8" s="442"/>
      <c r="O8" s="60" t="s">
        <v>131</v>
      </c>
      <c r="P8" s="442"/>
      <c r="Q8" s="60" t="s">
        <v>135</v>
      </c>
      <c r="R8" s="442"/>
      <c r="S8" s="60" t="s">
        <v>136</v>
      </c>
      <c r="T8" s="442"/>
      <c r="U8" s="60"/>
      <c r="AE8" s="313"/>
    </row>
    <row r="9" spans="1:31" ht="15" customHeight="1">
      <c r="D9" s="416"/>
      <c r="E9" s="1375" t="s">
        <v>115</v>
      </c>
      <c r="F9" s="1376"/>
      <c r="G9" s="1373" t="str">
        <f>IF(G8="","",INDEX(DIFFERENTIATION_UNMERGE_VD,MATCH(G8,DIFFERENTIATION_ID_DIFF,0)))</f>
        <v/>
      </c>
      <c r="H9" s="1374"/>
      <c r="I9" s="1373" t="str">
        <f>IF(I8="","",INDEX(DIFFERENTIATION_UNMERGE_VD,MATCH(I8,DIFFERENTIATION_ID_DIFF,0)))</f>
        <v>Холодное водоснабжение. Питьевая вода</v>
      </c>
      <c r="J9" s="1374"/>
      <c r="K9" s="1373" t="str">
        <f>IF(K8="","",INDEX(DIFFERENTIATION_UNMERGE_VD,MATCH(K8,DIFFERENTIATION_ID_DIFF,0)))</f>
        <v>Холодное водоснабжение. Техническая вода</v>
      </c>
      <c r="L9" s="1374"/>
      <c r="M9" s="1373" t="str">
        <f>IF(M8="","",INDEX(DIFFERENTIATION_UNMERGE_VD,MATCH(M8,DIFFERENTIATION_ID_DIFF,0)))</f>
        <v>Холодное водоснабжение. Питьевая вода</v>
      </c>
      <c r="N9" s="1374"/>
      <c r="O9" s="1373" t="str">
        <f>IF(O8="","",INDEX(DIFFERENTIATION_UNMERGE_VD,MATCH(O8,DIFFERENTIATION_ID_DIFF,0)))</f>
        <v>Холодное водоснабжение. Питьевая вода</v>
      </c>
      <c r="P9" s="1374"/>
      <c r="Q9" s="1373" t="str">
        <f>IF(Q8="","",INDEX(DIFFERENTIATION_UNMERGE_VD,MATCH(Q8,DIFFERENTIATION_ID_DIFF,0)))</f>
        <v>Холодное водоснабжение. Техническая вода</v>
      </c>
      <c r="R9" s="1374"/>
      <c r="S9" s="1373" t="str">
        <f>IF(S8="","",INDEX(DIFFERENTIATION_UNMERGE_VD,MATCH(S8,DIFFERENTIATION_ID_DIFF,0)))</f>
        <v>Холодное водоснабжение. Техническая вода</v>
      </c>
      <c r="T9" s="1374"/>
      <c r="U9" s="1145" t="s">
        <v>303</v>
      </c>
    </row>
    <row r="10" spans="1:31" s="9" customFormat="1" ht="15" customHeight="1">
      <c r="A10" s="6"/>
      <c r="C10" s="84"/>
      <c r="D10" s="416"/>
      <c r="E10" s="1375" t="s">
        <v>427</v>
      </c>
      <c r="F10" s="1376"/>
      <c r="G10" s="1373" t="str">
        <f>IF(G8="","",INDEX(DIFFERENTIATION_UNMERGE_AREA,MATCH(G8,DIFFERENTIATION_ID_DIFF,0)))</f>
        <v/>
      </c>
      <c r="H10" s="1374"/>
      <c r="I10" s="1373" t="str">
        <f>IF(I8="","",INDEX(DIFFERENTIATION_UNMERGE_AREA,MATCH(I8,DIFFERENTIATION_ID_DIFF,0)))</f>
        <v>Территория 1</v>
      </c>
      <c r="J10" s="1374"/>
      <c r="K10" s="1373" t="str">
        <f>IF(K8="","",INDEX(DIFFERENTIATION_UNMERGE_AREA,MATCH(K8,DIFFERENTIATION_ID_DIFF,0)))</f>
        <v>Территория 1</v>
      </c>
      <c r="L10" s="1374"/>
      <c r="M10" s="1373" t="str">
        <f>IF(M8="","",INDEX(DIFFERENTIATION_UNMERGE_AREA,MATCH(M8,DIFFERENTIATION_ID_DIFF,0)))</f>
        <v>Территория 2</v>
      </c>
      <c r="N10" s="1374"/>
      <c r="O10" s="1373" t="str">
        <f>IF(O8="","",INDEX(DIFFERENTIATION_UNMERGE_AREA,MATCH(O8,DIFFERENTIATION_ID_DIFF,0)))</f>
        <v>Территория 3</v>
      </c>
      <c r="P10" s="1374"/>
      <c r="Q10" s="1373" t="str">
        <f>IF(Q8="","",INDEX(DIFFERENTIATION_UNMERGE_AREA,MATCH(Q8,DIFFERENTIATION_ID_DIFF,0)))</f>
        <v>Территория 2</v>
      </c>
      <c r="R10" s="1374"/>
      <c r="S10" s="1373" t="str">
        <f>IF(S8="","",INDEX(DIFFERENTIATION_UNMERGE_AREA,MATCH(S8,DIFFERENTIATION_ID_DIFF,0)))</f>
        <v>Территория 3</v>
      </c>
      <c r="T10" s="1374"/>
      <c r="U10" s="1150"/>
      <c r="AE10" s="313"/>
    </row>
    <row r="11" spans="1:31" s="9" customFormat="1" ht="15" customHeight="1">
      <c r="A11" s="6"/>
      <c r="C11" s="84"/>
      <c r="D11" s="416"/>
      <c r="E11" s="1375" t="s">
        <v>428</v>
      </c>
      <c r="F11" s="1376"/>
      <c r="G11" s="1373" t="str">
        <f>IF(G8="","",INDEX(DIFFERENTIATION_UNMERGE_SYSTEM,MATCH(G8,DIFFERENTIATION_ID_DIFF,0)))</f>
        <v/>
      </c>
      <c r="H11" s="1374"/>
      <c r="I11" s="1373" t="str">
        <f>IF(I8="","",INDEX(DIFFERENTIATION_UNMERGE_SYSTEM,MATCH(I8,DIFFERENTIATION_ID_DIFF,0)))</f>
        <v>без дифференциации</v>
      </c>
      <c r="J11" s="1374"/>
      <c r="K11" s="1373" t="str">
        <f>IF(K8="","",INDEX(DIFFERENTIATION_UNMERGE_SYSTEM,MATCH(K8,DIFFERENTIATION_ID_DIFF,0)))</f>
        <v>без дифференциации</v>
      </c>
      <c r="L11" s="1374"/>
      <c r="M11" s="1373" t="str">
        <f>IF(M8="","",INDEX(DIFFERENTIATION_UNMERGE_SYSTEM,MATCH(M8,DIFFERENTIATION_ID_DIFF,0)))</f>
        <v>без дифференциации</v>
      </c>
      <c r="N11" s="1374"/>
      <c r="O11" s="1373" t="str">
        <f>IF(O8="","",INDEX(DIFFERENTIATION_UNMERGE_SYSTEM,MATCH(O8,DIFFERENTIATION_ID_DIFF,0)))</f>
        <v>без дифференциации</v>
      </c>
      <c r="P11" s="1374"/>
      <c r="Q11" s="1373" t="str">
        <f>IF(Q8="","",INDEX(DIFFERENTIATION_UNMERGE_SYSTEM,MATCH(Q8,DIFFERENTIATION_ID_DIFF,0)))</f>
        <v>без дифференциации</v>
      </c>
      <c r="R11" s="1374"/>
      <c r="S11" s="1373" t="str">
        <f>IF(S8="","",INDEX(DIFFERENTIATION_UNMERGE_SYSTEM,MATCH(S8,DIFFERENTIATION_ID_DIFF,0)))</f>
        <v>без дифференциации</v>
      </c>
      <c r="T11" s="1374"/>
      <c r="U11" s="1150"/>
      <c r="AE11" s="313"/>
    </row>
    <row r="12" spans="1:31" s="9" customFormat="1" ht="15" customHeight="1">
      <c r="A12" s="6"/>
      <c r="C12" s="84"/>
      <c r="D12" s="1377" t="s">
        <v>302</v>
      </c>
      <c r="E12" s="1378"/>
      <c r="F12" s="1378"/>
      <c r="G12" s="526"/>
      <c r="H12" s="526"/>
      <c r="I12" s="526"/>
      <c r="J12" s="526"/>
      <c r="K12" s="526"/>
      <c r="L12" s="526"/>
      <c r="M12" s="526"/>
      <c r="N12" s="526"/>
      <c r="O12" s="526"/>
      <c r="P12" s="526"/>
      <c r="Q12" s="526"/>
      <c r="R12" s="526"/>
      <c r="S12" s="526"/>
      <c r="T12" s="526"/>
      <c r="U12" s="1150"/>
      <c r="AE12" s="313"/>
    </row>
    <row r="13" spans="1:31" ht="33.75" customHeight="1">
      <c r="D13" s="39" t="s">
        <v>88</v>
      </c>
      <c r="E13" s="39" t="s">
        <v>304</v>
      </c>
      <c r="F13" s="39" t="s">
        <v>1623</v>
      </c>
      <c r="G13" s="397" t="s">
        <v>305</v>
      </c>
      <c r="H13" s="39" t="s">
        <v>394</v>
      </c>
      <c r="I13" s="397" t="s">
        <v>305</v>
      </c>
      <c r="J13" s="39" t="s">
        <v>394</v>
      </c>
      <c r="K13" s="397" t="s">
        <v>305</v>
      </c>
      <c r="L13" s="39" t="s">
        <v>394</v>
      </c>
      <c r="M13" s="397" t="s">
        <v>305</v>
      </c>
      <c r="N13" s="39" t="s">
        <v>394</v>
      </c>
      <c r="O13" s="397" t="s">
        <v>305</v>
      </c>
      <c r="P13" s="39" t="s">
        <v>394</v>
      </c>
      <c r="Q13" s="397" t="s">
        <v>305</v>
      </c>
      <c r="R13" s="39" t="s">
        <v>394</v>
      </c>
      <c r="S13" s="397" t="s">
        <v>305</v>
      </c>
      <c r="T13" s="39" t="s">
        <v>394</v>
      </c>
      <c r="U13" s="1200"/>
    </row>
    <row r="14" spans="1:31" ht="15" hidden="1" customHeight="1">
      <c r="D14" s="353" t="s">
        <v>119</v>
      </c>
      <c r="E14" s="353" t="s">
        <v>103</v>
      </c>
      <c r="F14" s="353" t="s">
        <v>90</v>
      </c>
      <c r="G14" s="84" t="str">
        <f>G1&amp;".1"</f>
        <v>4.1</v>
      </c>
      <c r="H14" s="84"/>
      <c r="I14" s="84" t="str">
        <f>I1&amp;".1"</f>
        <v>4.1</v>
      </c>
      <c r="J14" s="84"/>
      <c r="K14" s="84" t="str">
        <f>K1&amp;".1"</f>
        <v>4.1</v>
      </c>
      <c r="L14" s="84"/>
      <c r="M14" s="84" t="str">
        <f>M1&amp;".1"</f>
        <v>4.1</v>
      </c>
      <c r="N14" s="84"/>
      <c r="O14" s="84" t="str">
        <f>O1&amp;".1"</f>
        <v>4.1</v>
      </c>
      <c r="P14" s="84"/>
      <c r="Q14" s="84" t="str">
        <f>Q1&amp;".1"</f>
        <v>4.1</v>
      </c>
      <c r="R14" s="84"/>
      <c r="S14" s="84" t="str">
        <f>S1&amp;".1"</f>
        <v>4.1</v>
      </c>
      <c r="T14" s="84"/>
      <c r="U14" s="64"/>
    </row>
    <row r="15" spans="1:31" ht="22.5" hidden="1" customHeight="1">
      <c r="A15" s="9"/>
      <c r="C15" s="74"/>
      <c r="D15" s="39">
        <v>1</v>
      </c>
      <c r="E15" s="150" t="s">
        <v>1624</v>
      </c>
      <c r="F15" s="39" t="s">
        <v>1625</v>
      </c>
      <c r="G15" s="392"/>
      <c r="H15" s="392"/>
      <c r="I15" s="392"/>
      <c r="J15" s="392"/>
      <c r="K15" s="392"/>
      <c r="L15" s="392"/>
      <c r="M15" s="392"/>
      <c r="N15" s="392"/>
      <c r="O15" s="392"/>
      <c r="P15" s="392"/>
      <c r="Q15" s="392"/>
      <c r="R15" s="392"/>
      <c r="S15" s="392"/>
      <c r="T15" s="392"/>
      <c r="U15" s="64" t="s">
        <v>1626</v>
      </c>
    </row>
    <row r="16" spans="1:31" ht="22.5" hidden="1" customHeight="1">
      <c r="A16" s="9"/>
      <c r="C16" s="74"/>
      <c r="D16" s="39">
        <v>2</v>
      </c>
      <c r="E16" s="150" t="s">
        <v>1627</v>
      </c>
      <c r="F16" s="39" t="s">
        <v>1628</v>
      </c>
      <c r="G16" s="392"/>
      <c r="H16" s="392"/>
      <c r="I16" s="392"/>
      <c r="J16" s="392"/>
      <c r="K16" s="392"/>
      <c r="L16" s="392"/>
      <c r="M16" s="392"/>
      <c r="N16" s="392"/>
      <c r="O16" s="392"/>
      <c r="P16" s="392"/>
      <c r="Q16" s="392"/>
      <c r="R16" s="392"/>
      <c r="S16" s="392"/>
      <c r="T16" s="392"/>
      <c r="U16" s="64" t="s">
        <v>1629</v>
      </c>
    </row>
    <row r="17" spans="1:21" ht="123.75" hidden="1" customHeight="1">
      <c r="A17" s="9"/>
      <c r="C17" s="74"/>
      <c r="D17" s="39">
        <v>3</v>
      </c>
      <c r="E17" s="150" t="s">
        <v>1630</v>
      </c>
      <c r="F17" s="39" t="s">
        <v>308</v>
      </c>
      <c r="G17" s="392"/>
      <c r="H17" s="392"/>
      <c r="I17" s="392"/>
      <c r="J17" s="392"/>
      <c r="K17" s="392"/>
      <c r="L17" s="392"/>
      <c r="M17" s="392"/>
      <c r="N17" s="392"/>
      <c r="O17" s="392"/>
      <c r="P17" s="392"/>
      <c r="Q17" s="392"/>
      <c r="R17" s="392"/>
      <c r="S17" s="392"/>
      <c r="T17" s="392"/>
      <c r="U17" s="64" t="s">
        <v>1631</v>
      </c>
    </row>
    <row r="18" spans="1:21" ht="45" customHeight="1">
      <c r="A18" s="9"/>
      <c r="C18" s="74"/>
      <c r="D18" s="39">
        <v>4</v>
      </c>
      <c r="E18" s="150" t="s">
        <v>1632</v>
      </c>
      <c r="F18" s="39" t="s">
        <v>308</v>
      </c>
      <c r="G18" s="39" t="s">
        <v>308</v>
      </c>
      <c r="H18" s="349" t="s">
        <v>308</v>
      </c>
      <c r="I18" s="39" t="s">
        <v>308</v>
      </c>
      <c r="J18" s="349" t="s">
        <v>308</v>
      </c>
      <c r="K18" s="39" t="s">
        <v>308</v>
      </c>
      <c r="L18" s="349" t="s">
        <v>308</v>
      </c>
      <c r="M18" s="39" t="s">
        <v>308</v>
      </c>
      <c r="N18" s="349" t="s">
        <v>308</v>
      </c>
      <c r="O18" s="39" t="s">
        <v>308</v>
      </c>
      <c r="P18" s="349" t="s">
        <v>308</v>
      </c>
      <c r="Q18" s="39" t="s">
        <v>308</v>
      </c>
      <c r="R18" s="349" t="s">
        <v>308</v>
      </c>
      <c r="S18" s="39" t="s">
        <v>308</v>
      </c>
      <c r="T18" s="349" t="s">
        <v>308</v>
      </c>
      <c r="U18" s="64" t="s">
        <v>1633</v>
      </c>
    </row>
    <row r="19" spans="1:21" ht="33.75" customHeight="1">
      <c r="A19" s="9"/>
      <c r="C19" s="74"/>
      <c r="D19" s="41" t="s">
        <v>1473</v>
      </c>
      <c r="E19" s="333" t="s">
        <v>1634</v>
      </c>
      <c r="F19" s="39" t="s">
        <v>1635</v>
      </c>
      <c r="G19" s="481"/>
      <c r="H19" s="35"/>
      <c r="I19" s="481"/>
      <c r="J19" s="241"/>
      <c r="K19" s="481"/>
      <c r="L19" s="35"/>
      <c r="M19" s="481"/>
      <c r="N19" s="35"/>
      <c r="O19" s="481"/>
      <c r="P19" s="35"/>
      <c r="Q19" s="481"/>
      <c r="R19" s="35"/>
      <c r="S19" s="481"/>
      <c r="T19" s="35"/>
      <c r="U19" s="393"/>
    </row>
    <row r="20" spans="1:21" ht="33.75" customHeight="1">
      <c r="A20" s="9"/>
      <c r="C20" s="74"/>
      <c r="D20" s="41" t="s">
        <v>1490</v>
      </c>
      <c r="E20" s="333" t="s">
        <v>1636</v>
      </c>
      <c r="F20" s="39" t="s">
        <v>1637</v>
      </c>
      <c r="G20" s="481"/>
      <c r="H20" s="35"/>
      <c r="I20" s="481"/>
      <c r="J20" s="35"/>
      <c r="K20" s="481"/>
      <c r="L20" s="35"/>
      <c r="M20" s="481"/>
      <c r="N20" s="35"/>
      <c r="O20" s="481"/>
      <c r="P20" s="35"/>
      <c r="Q20" s="481"/>
      <c r="R20" s="35"/>
      <c r="S20" s="481"/>
      <c r="T20" s="35"/>
      <c r="U20" s="393"/>
    </row>
    <row r="21" spans="1:21" ht="45" customHeight="1">
      <c r="A21" s="9"/>
      <c r="C21" s="74"/>
      <c r="D21" s="41" t="s">
        <v>1638</v>
      </c>
      <c r="E21" s="333" t="s">
        <v>1639</v>
      </c>
      <c r="F21" s="39" t="s">
        <v>1252</v>
      </c>
      <c r="G21" s="394"/>
      <c r="H21" s="35"/>
      <c r="I21" s="394"/>
      <c r="J21" s="35"/>
      <c r="K21" s="394"/>
      <c r="L21" s="35"/>
      <c r="M21" s="394"/>
      <c r="N21" s="35"/>
      <c r="O21" s="394"/>
      <c r="P21" s="35"/>
      <c r="Q21" s="394"/>
      <c r="R21" s="35"/>
      <c r="S21" s="394"/>
      <c r="T21" s="35"/>
      <c r="U21" s="393"/>
    </row>
    <row r="22" spans="1:21" ht="67.5" hidden="1" customHeight="1">
      <c r="A22" s="9"/>
      <c r="C22" s="74"/>
      <c r="D22" s="39">
        <v>5</v>
      </c>
      <c r="E22" s="150" t="s">
        <v>1640</v>
      </c>
      <c r="F22" s="39" t="s">
        <v>1641</v>
      </c>
      <c r="G22" s="395"/>
      <c r="H22" s="396"/>
      <c r="I22" s="395"/>
      <c r="J22" s="396"/>
      <c r="K22" s="395"/>
      <c r="L22" s="396"/>
      <c r="M22" s="395"/>
      <c r="N22" s="396"/>
      <c r="O22" s="395"/>
      <c r="P22" s="396"/>
      <c r="Q22" s="395"/>
      <c r="R22" s="396"/>
      <c r="S22" s="395"/>
      <c r="T22" s="396"/>
      <c r="U22" s="64" t="s">
        <v>1642</v>
      </c>
    </row>
    <row r="23" spans="1:21" ht="33.75" hidden="1" customHeight="1">
      <c r="C23" s="74"/>
      <c r="D23" s="39">
        <v>6</v>
      </c>
      <c r="E23" s="150" t="s">
        <v>1643</v>
      </c>
      <c r="F23" s="39" t="s">
        <v>1644</v>
      </c>
      <c r="G23" s="395"/>
      <c r="H23" s="395"/>
      <c r="I23" s="395"/>
      <c r="J23" s="395"/>
      <c r="K23" s="395"/>
      <c r="L23" s="395"/>
      <c r="M23" s="395"/>
      <c r="N23" s="395"/>
      <c r="O23" s="395"/>
      <c r="P23" s="395"/>
      <c r="Q23" s="395"/>
      <c r="R23" s="395"/>
      <c r="S23" s="395"/>
      <c r="T23" s="395"/>
      <c r="U23" s="64" t="s">
        <v>1645</v>
      </c>
    </row>
    <row r="29" spans="1:21" ht="15" customHeight="1">
      <c r="J29" s="482"/>
    </row>
  </sheetData>
  <sheetProtection formatColumns="0" formatRows="0" insertRows="0" deleteColumns="0" deleteRows="0" sort="0" autoFilter="0"/>
  <mergeCells count="28">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Q21 S21" xr:uid="{00000000-0002-0000-1E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1E00-000001000000}"/>
    <dataValidation type="whole" allowBlank="1" showErrorMessage="1" errorTitle="Ошибка" error="Допускается ввод только неотрицательных целых чисел!" sqref="G19:G20 I19:I20 K19 K20 M19 M20 O19 O20 Q19 Q20 S19 S20" xr:uid="{00000000-0002-0000-1E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xr:uid="{00000000-0002-0000-1E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9C5ED-68BA-33C8-E4CB-2F3254BD4F98}">
  <sheetPr>
    <tabColor theme="2" tint="-9.9978637043366805E-2"/>
  </sheetPr>
  <dimension ref="A1:W22"/>
  <sheetViews>
    <sheetView showGridLines="0" topLeftCell="C4" zoomScale="90" workbookViewId="0">
      <selection activeCell="M22" sqref="M22"/>
    </sheetView>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42.42578125" style="9" hidden="1" customWidth="1"/>
    <col min="8" max="8" width="40.7109375" style="9" customWidth="1"/>
    <col min="9" max="13" width="42.42578125" style="9" customWidth="1"/>
    <col min="14" max="14" width="93.42578125" style="60" customWidth="1"/>
    <col min="15" max="22" width="10.5703125" style="9"/>
    <col min="23" max="23" width="10.5703125" style="313"/>
  </cols>
  <sheetData>
    <row r="1" spans="1:23" s="60" customFormat="1" ht="15" hidden="1" customHeight="1">
      <c r="C1" s="312"/>
      <c r="H1" s="60">
        <v>4</v>
      </c>
      <c r="W1" s="248"/>
    </row>
    <row r="2" spans="1:23" ht="22.5" hidden="1" customHeight="1">
      <c r="D2" s="41"/>
      <c r="E2" s="226"/>
      <c r="F2" s="39" t="str">
        <f>IF(TEMPLATE_SPHERE="HEAT","Гкал/час","тыс. куб. м/сутки")</f>
        <v>тыс. куб. м/сутки</v>
      </c>
      <c r="G2" s="394"/>
      <c r="H2" s="394"/>
      <c r="I2" s="394"/>
      <c r="J2" s="394"/>
      <c r="K2" s="394"/>
      <c r="L2" s="394"/>
      <c r="M2" s="394"/>
      <c r="N2" s="64"/>
    </row>
    <row r="3" spans="1:23" s="60" customFormat="1" ht="15" hidden="1" customHeight="1">
      <c r="C3" s="312"/>
      <c r="W3" s="248"/>
    </row>
    <row r="5" spans="1:23" ht="47.25" customHeight="1">
      <c r="D5" s="1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312"/>
      <c r="F5" s="1312"/>
      <c r="G5" s="1312"/>
      <c r="H5" s="1312"/>
      <c r="I5" s="1042"/>
      <c r="J5" s="1042"/>
      <c r="K5" s="1042"/>
      <c r="L5" s="1042"/>
      <c r="M5" s="1042"/>
    </row>
    <row r="6" spans="1:23" ht="15" customHeight="1">
      <c r="D6" s="1178" t="str">
        <f>IF(org=0,"Не определено",org)</f>
        <v>ООО "Концессионная Коммунальная Компания"</v>
      </c>
      <c r="E6" s="1178"/>
      <c r="F6" s="1178"/>
      <c r="G6" s="1178"/>
      <c r="H6" s="1178"/>
      <c r="I6" s="1040"/>
      <c r="J6" s="1040"/>
      <c r="K6" s="1040"/>
      <c r="L6" s="1040"/>
      <c r="M6" s="1040"/>
    </row>
    <row r="7" spans="1:23" s="9" customFormat="1" ht="15" customHeight="1">
      <c r="A7" s="6"/>
      <c r="C7" s="84"/>
      <c r="D7" s="351"/>
      <c r="E7" s="351"/>
      <c r="F7" s="351"/>
      <c r="G7" s="351"/>
      <c r="H7" s="442"/>
      <c r="I7" s="351" t="s">
        <v>18</v>
      </c>
      <c r="J7" s="351" t="s">
        <v>18</v>
      </c>
      <c r="K7" s="351" t="s">
        <v>18</v>
      </c>
      <c r="L7" s="351" t="s">
        <v>18</v>
      </c>
      <c r="M7" s="351" t="s">
        <v>18</v>
      </c>
      <c r="N7" s="60"/>
      <c r="W7" s="313"/>
    </row>
    <row r="8" spans="1:23" ht="0.75" customHeight="1">
      <c r="H8" s="60" t="s">
        <v>126</v>
      </c>
      <c r="I8" s="9" t="s">
        <v>133</v>
      </c>
      <c r="J8" s="9" t="s">
        <v>130</v>
      </c>
      <c r="K8" s="9" t="s">
        <v>131</v>
      </c>
      <c r="L8" s="9" t="s">
        <v>135</v>
      </c>
      <c r="M8" s="9" t="s">
        <v>136</v>
      </c>
    </row>
    <row r="9" spans="1:23" ht="15" customHeight="1">
      <c r="D9" s="416"/>
      <c r="E9" s="1375" t="s">
        <v>115</v>
      </c>
      <c r="F9" s="1376"/>
      <c r="G9" s="480" t="str">
        <f t="shared" ref="G9:M9" si="0">IF(G8="","",INDEX(DIFFERENTIATION_UNMERGE_VD,MATCH(G8,DIFFERENTIATION_ID_DIFF,0)))</f>
        <v/>
      </c>
      <c r="H9" s="480" t="str">
        <f t="shared" si="0"/>
        <v>Холодное водоснабжение. Питьевая вода</v>
      </c>
      <c r="I9" s="480" t="str">
        <f t="shared" si="0"/>
        <v>Холодное водоснабжение. Техническая вода</v>
      </c>
      <c r="J9" s="480" t="str">
        <f t="shared" si="0"/>
        <v>Холодное водоснабжение. Питьевая вода</v>
      </c>
      <c r="K9" s="480" t="str">
        <f t="shared" si="0"/>
        <v>Холодное водоснабжение. Питьевая вода</v>
      </c>
      <c r="L9" s="480" t="str">
        <f t="shared" si="0"/>
        <v>Холодное водоснабжение. Техническая вода</v>
      </c>
      <c r="M9" s="480" t="str">
        <f t="shared" si="0"/>
        <v>Холодное водоснабжение. Техническая вода</v>
      </c>
      <c r="N9" s="1082" t="s">
        <v>303</v>
      </c>
    </row>
    <row r="10" spans="1:23" s="9" customFormat="1" ht="15" customHeight="1">
      <c r="A10" s="6"/>
      <c r="C10" s="84"/>
      <c r="D10" s="416"/>
      <c r="E10" s="1375" t="s">
        <v>427</v>
      </c>
      <c r="F10" s="1376"/>
      <c r="G10" s="480" t="str">
        <f t="shared" ref="G10:M10" si="1">IF(G8="","",INDEX(DIFFERENTIATION_UNMERGE_AREA,MATCH(G8,DIFFERENTIATION_ID_DIFF,0)))</f>
        <v/>
      </c>
      <c r="H10" s="480" t="str">
        <f t="shared" si="1"/>
        <v>Территория 1</v>
      </c>
      <c r="I10" s="480" t="str">
        <f t="shared" si="1"/>
        <v>Территория 1</v>
      </c>
      <c r="J10" s="480" t="str">
        <f t="shared" si="1"/>
        <v>Территория 2</v>
      </c>
      <c r="K10" s="480" t="str">
        <f t="shared" si="1"/>
        <v>Территория 3</v>
      </c>
      <c r="L10" s="480" t="str">
        <f t="shared" si="1"/>
        <v>Территория 2</v>
      </c>
      <c r="M10" s="480" t="str">
        <f t="shared" si="1"/>
        <v>Территория 3</v>
      </c>
      <c r="N10" s="1082"/>
      <c r="W10" s="313"/>
    </row>
    <row r="11" spans="1:23" s="9" customFormat="1" ht="15" customHeight="1">
      <c r="A11" s="6"/>
      <c r="C11" s="84"/>
      <c r="D11" s="416"/>
      <c r="E11" s="1375" t="s">
        <v>428</v>
      </c>
      <c r="F11" s="1376"/>
      <c r="G11" s="480" t="str">
        <f t="shared" ref="G11:M11" si="2">IF(G8="","",INDEX(DIFFERENTIATION_UNMERGE_SYSTEM,MATCH(G8,DIFFERENTIATION_ID_DIFF,0)))</f>
        <v/>
      </c>
      <c r="H11" s="480" t="str">
        <f t="shared" si="2"/>
        <v>без дифференциации</v>
      </c>
      <c r="I11" s="480" t="str">
        <f t="shared" si="2"/>
        <v>без дифференциации</v>
      </c>
      <c r="J11" s="480" t="str">
        <f t="shared" si="2"/>
        <v>без дифференциации</v>
      </c>
      <c r="K11" s="480" t="str">
        <f t="shared" si="2"/>
        <v>без дифференциации</v>
      </c>
      <c r="L11" s="480" t="str">
        <f t="shared" si="2"/>
        <v>без дифференциации</v>
      </c>
      <c r="M11" s="480" t="str">
        <f t="shared" si="2"/>
        <v>без дифференциации</v>
      </c>
      <c r="N11" s="1082"/>
      <c r="W11" s="313"/>
    </row>
    <row r="12" spans="1:23" s="9" customFormat="1" ht="15" customHeight="1">
      <c r="A12" s="6"/>
      <c r="C12" s="84"/>
      <c r="D12" s="1377" t="s">
        <v>302</v>
      </c>
      <c r="E12" s="1378"/>
      <c r="F12" s="1378"/>
      <c r="G12" s="526"/>
      <c r="H12" s="526"/>
      <c r="I12" s="526"/>
      <c r="J12" s="526"/>
      <c r="K12" s="526"/>
      <c r="L12" s="526"/>
      <c r="M12" s="526"/>
      <c r="N12" s="1082"/>
      <c r="W12" s="313"/>
    </row>
    <row r="13" spans="1:23" ht="33.75" customHeight="1">
      <c r="D13" s="39" t="s">
        <v>88</v>
      </c>
      <c r="E13" s="39" t="s">
        <v>304</v>
      </c>
      <c r="F13" s="39" t="s">
        <v>1623</v>
      </c>
      <c r="G13" s="397" t="s">
        <v>305</v>
      </c>
      <c r="H13" s="397" t="s">
        <v>305</v>
      </c>
      <c r="I13" s="397" t="s">
        <v>305</v>
      </c>
      <c r="J13" s="397" t="s">
        <v>305</v>
      </c>
      <c r="K13" s="397" t="s">
        <v>305</v>
      </c>
      <c r="L13" s="397" t="s">
        <v>305</v>
      </c>
      <c r="M13" s="397" t="s">
        <v>305</v>
      </c>
      <c r="N13" s="1082"/>
    </row>
    <row r="14" spans="1:23" ht="15" hidden="1" customHeight="1">
      <c r="D14" s="353" t="s">
        <v>119</v>
      </c>
      <c r="E14" s="353" t="s">
        <v>103</v>
      </c>
      <c r="F14" s="353" t="s">
        <v>90</v>
      </c>
      <c r="G14" s="84" t="str">
        <f t="shared" ref="G14:M14" si="3">G1&amp;".1"</f>
        <v>.1</v>
      </c>
      <c r="H14" s="84" t="str">
        <f t="shared" si="3"/>
        <v>4.1</v>
      </c>
      <c r="I14" s="84" t="str">
        <f t="shared" si="3"/>
        <v>.1</v>
      </c>
      <c r="J14" s="84" t="str">
        <f t="shared" si="3"/>
        <v>.1</v>
      </c>
      <c r="K14" s="84" t="str">
        <f t="shared" si="3"/>
        <v>.1</v>
      </c>
      <c r="L14" s="84" t="str">
        <f t="shared" si="3"/>
        <v>.1</v>
      </c>
      <c r="M14" s="84" t="str">
        <f t="shared" si="3"/>
        <v>.1</v>
      </c>
      <c r="N14" s="64"/>
    </row>
    <row r="15" spans="1:23" ht="15" customHeight="1">
      <c r="A15" s="9"/>
      <c r="C15" s="74"/>
      <c r="D15" s="39">
        <v>1</v>
      </c>
      <c r="E15" s="150" t="str">
        <f>TP_P_A</f>
        <v xml:space="preserve">Количество поданных заявлений </v>
      </c>
      <c r="F15" s="39" t="s">
        <v>1646</v>
      </c>
      <c r="G15" s="398"/>
      <c r="H15" s="398">
        <v>0</v>
      </c>
      <c r="I15" s="398">
        <v>0</v>
      </c>
      <c r="J15" s="398">
        <v>0</v>
      </c>
      <c r="K15" s="398">
        <v>0</v>
      </c>
      <c r="L15" s="398">
        <v>0</v>
      </c>
      <c r="M15" s="398">
        <v>0</v>
      </c>
      <c r="N15" s="1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23" ht="15" customHeight="1">
      <c r="A16" s="9"/>
      <c r="C16" s="74"/>
      <c r="D16" s="39">
        <v>2</v>
      </c>
      <c r="E16" s="150" t="str">
        <f>TP_P_B</f>
        <v xml:space="preserve">Количество исполненных заявлений </v>
      </c>
      <c r="F16" s="39" t="s">
        <v>1646</v>
      </c>
      <c r="G16" s="398"/>
      <c r="H16" s="398">
        <v>0</v>
      </c>
      <c r="I16" s="398">
        <v>0</v>
      </c>
      <c r="J16" s="398">
        <v>0</v>
      </c>
      <c r="K16" s="398">
        <v>0</v>
      </c>
      <c r="L16" s="398">
        <v>0</v>
      </c>
      <c r="M16" s="398">
        <v>0</v>
      </c>
      <c r="N16" s="1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23" ht="33.75" customHeight="1">
      <c r="A17" s="9"/>
      <c r="C17" s="74"/>
      <c r="D17" s="39">
        <v>3</v>
      </c>
      <c r="E17" s="150" t="str">
        <f>TP_P_V</f>
        <v>Количество заявлений о заключении договоров о подключении (технологическом присоединении)</v>
      </c>
      <c r="F17" s="39" t="s">
        <v>1646</v>
      </c>
      <c r="G17" s="398"/>
      <c r="H17" s="398">
        <v>0</v>
      </c>
      <c r="I17" s="398">
        <v>0</v>
      </c>
      <c r="J17" s="398">
        <v>0</v>
      </c>
      <c r="K17" s="398">
        <v>0</v>
      </c>
      <c r="L17" s="398">
        <v>0</v>
      </c>
      <c r="M17" s="398">
        <v>0</v>
      </c>
      <c r="N17" s="11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23" ht="49.15" customHeight="1">
      <c r="A18" s="9"/>
      <c r="C18" s="74"/>
      <c r="D18" s="39">
        <v>4</v>
      </c>
      <c r="E18" s="15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39" t="s">
        <v>308</v>
      </c>
      <c r="G18" s="399"/>
      <c r="H18" s="399"/>
      <c r="I18" s="399"/>
      <c r="J18" s="399"/>
      <c r="K18" s="399"/>
      <c r="L18" s="399"/>
      <c r="M18" s="399"/>
      <c r="N18" s="14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3" ht="60.75" customHeight="1">
      <c r="A19" s="9"/>
      <c r="C19" s="74"/>
      <c r="D19" s="39">
        <v>5</v>
      </c>
      <c r="E19" s="15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39" t="str">
        <f>IF(TEMPLATE_SPHERE="HEAT","Гкал/час","тыс. куб. м/сутки")</f>
        <v>тыс. куб. м/сутки</v>
      </c>
      <c r="G19" s="400">
        <f t="shared" ref="G19:M19" si="4">SUM(G20:G22)</f>
        <v>0</v>
      </c>
      <c r="H19" s="400">
        <f t="shared" si="4"/>
        <v>0</v>
      </c>
      <c r="I19" s="400">
        <f t="shared" si="4"/>
        <v>0.02</v>
      </c>
      <c r="J19" s="400">
        <f t="shared" si="4"/>
        <v>0.2</v>
      </c>
      <c r="K19" s="400">
        <f t="shared" si="4"/>
        <v>0.57999999999999996</v>
      </c>
      <c r="L19" s="400">
        <f t="shared" si="4"/>
        <v>3.99</v>
      </c>
      <c r="M19" s="400">
        <f t="shared" si="4"/>
        <v>4</v>
      </c>
      <c r="N19" s="11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23" ht="15" hidden="1" customHeight="1">
      <c r="D20" s="9" t="s">
        <v>1647</v>
      </c>
      <c r="E20" s="351"/>
      <c r="N20" s="1000"/>
    </row>
    <row r="21" spans="1:23" ht="57.6" customHeight="1">
      <c r="C21" s="74"/>
      <c r="D21" s="41" t="s">
        <v>317</v>
      </c>
      <c r="E21" s="116" t="s">
        <v>1648</v>
      </c>
      <c r="F21" s="39" t="str">
        <f>IF(TEMPLATE_SPHERE="HEAT","Гкал/час","тыс. куб. м/сутки")</f>
        <v>тыс. куб. м/сутки</v>
      </c>
      <c r="G21" s="394"/>
      <c r="H21" s="394">
        <v>0</v>
      </c>
      <c r="I21" s="394">
        <v>0.02</v>
      </c>
      <c r="J21" s="394">
        <v>0.2</v>
      </c>
      <c r="K21" s="394">
        <v>0.57999999999999996</v>
      </c>
      <c r="L21" s="394">
        <v>3.99</v>
      </c>
      <c r="M21" s="394">
        <v>4</v>
      </c>
      <c r="N21" s="113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23" ht="15" customHeight="1">
      <c r="A22" s="9"/>
      <c r="C22" s="9"/>
      <c r="D22" s="38"/>
      <c r="E22" s="107" t="s">
        <v>1649</v>
      </c>
      <c r="F22" s="343"/>
      <c r="G22" s="343"/>
      <c r="H22" s="343"/>
      <c r="I22" s="343"/>
      <c r="J22" s="343"/>
      <c r="K22" s="343"/>
      <c r="L22" s="343"/>
      <c r="M22" s="343"/>
      <c r="N22" s="1137"/>
      <c r="W22" s="9"/>
    </row>
  </sheetData>
  <sheetProtection formatColumns="0" formatRows="0" insertRows="0" deleteColumns="0" deleteRows="0" sort="0" autoFilter="0"/>
  <mergeCells count="8">
    <mergeCell ref="N21:N22"/>
    <mergeCell ref="N9:N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M17" xr:uid="{00000000-0002-0000-1F00-000000000000}">
      <formula1>0</formula1>
      <formula2>9.99999999999999E+23</formula2>
    </dataValidation>
    <dataValidation type="decimal" allowBlank="1" showErrorMessage="1" errorTitle="Ошибка" error="Допускается ввод только неотрицательных чисел!" sqref="G21:M21 G2:M2"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M18" xr:uid="{00000000-0002-0000-1F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1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79A7E-B9B3-746D-6CCB-3DC81272B3CF}">
  <sheetPr>
    <tabColor rgb="FFDDD9C4"/>
  </sheetPr>
  <dimension ref="A1:AE39"/>
  <sheetViews>
    <sheetView showGridLines="0" topLeftCell="S25" zoomScale="90" workbookViewId="0">
      <selection activeCell="S25" sqref="S25"/>
    </sheetView>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25.7109375" style="9" hidden="1" customWidth="1"/>
    <col min="8" max="8" width="33.7109375" style="9" hidden="1" customWidth="1"/>
    <col min="9" max="9" width="25.7109375" style="9" customWidth="1"/>
    <col min="10" max="10" width="33.7109375" style="9" customWidth="1"/>
    <col min="11" max="11" width="25.7109375" style="9" customWidth="1"/>
    <col min="12" max="12" width="33.7109375" style="9" customWidth="1"/>
    <col min="13" max="13" width="25.7109375" style="9" customWidth="1"/>
    <col min="14" max="14" width="33.7109375" style="9" customWidth="1"/>
    <col min="15" max="15" width="25.7109375" style="9" customWidth="1"/>
    <col min="16" max="16" width="33.7109375" style="9" customWidth="1"/>
    <col min="17" max="17" width="25.7109375" style="9" customWidth="1"/>
    <col min="18" max="18" width="33.7109375" style="9" customWidth="1"/>
    <col min="19" max="19" width="25.7109375" style="9" customWidth="1"/>
    <col min="20" max="20" width="33.7109375" style="9" customWidth="1"/>
    <col min="21" max="21" width="93.42578125" style="60" customWidth="1"/>
    <col min="22" max="30" width="10.5703125" style="9"/>
    <col min="31" max="31" width="10.5703125" style="313"/>
  </cols>
  <sheetData>
    <row r="1" spans="1:31" s="60" customFormat="1" ht="15" hidden="1" customHeight="1">
      <c r="C1" s="312"/>
      <c r="G1" s="60">
        <v>4</v>
      </c>
      <c r="I1" s="60">
        <v>4</v>
      </c>
      <c r="K1" s="60">
        <v>4</v>
      </c>
      <c r="M1" s="60">
        <v>4</v>
      </c>
      <c r="O1" s="60">
        <v>4</v>
      </c>
      <c r="Q1" s="60">
        <v>4</v>
      </c>
      <c r="S1" s="60">
        <v>4</v>
      </c>
      <c r="AE1" s="248"/>
    </row>
    <row r="2" spans="1:31" s="60" customFormat="1" ht="15" hidden="1" customHeight="1">
      <c r="C2" s="312"/>
      <c r="AE2" s="248"/>
    </row>
    <row r="3" spans="1:31" ht="22.5" hidden="1" customHeight="1">
      <c r="A3" s="9"/>
      <c r="B3" s="1379"/>
      <c r="C3" s="1380"/>
      <c r="D3" s="401" t="str">
        <f>B3&amp;".1"</f>
        <v>.1</v>
      </c>
      <c r="E3" s="402" t="s">
        <v>1650</v>
      </c>
      <c r="F3" s="403" t="s">
        <v>308</v>
      </c>
      <c r="G3" s="399"/>
      <c r="H3" s="241"/>
      <c r="I3" s="399"/>
      <c r="J3" s="241"/>
      <c r="K3" s="399"/>
      <c r="L3" s="241"/>
      <c r="M3" s="399"/>
      <c r="N3" s="241"/>
      <c r="O3" s="399"/>
      <c r="P3" s="241"/>
      <c r="Q3" s="399"/>
      <c r="R3" s="241"/>
      <c r="S3" s="399"/>
      <c r="T3" s="241"/>
      <c r="U3" s="64" t="s">
        <v>1651</v>
      </c>
    </row>
    <row r="4" spans="1:31" ht="15" hidden="1" customHeight="1">
      <c r="A4" s="9"/>
      <c r="B4" s="1379"/>
      <c r="C4" s="1380"/>
      <c r="D4" s="401" t="str">
        <f>B3&amp;".2"</f>
        <v>.2</v>
      </c>
      <c r="E4" s="402" t="s">
        <v>1652</v>
      </c>
      <c r="F4" s="403" t="s">
        <v>308</v>
      </c>
      <c r="G4" s="978" t="s">
        <v>18</v>
      </c>
      <c r="H4" s="241"/>
      <c r="I4" s="978" t="s">
        <v>18</v>
      </c>
      <c r="J4" s="241"/>
      <c r="K4" s="978" t="s">
        <v>18</v>
      </c>
      <c r="L4" s="241"/>
      <c r="M4" s="978" t="s">
        <v>18</v>
      </c>
      <c r="N4" s="241"/>
      <c r="O4" s="978" t="s">
        <v>18</v>
      </c>
      <c r="P4" s="241"/>
      <c r="Q4" s="978" t="s">
        <v>18</v>
      </c>
      <c r="R4" s="241"/>
      <c r="S4" s="978" t="s">
        <v>18</v>
      </c>
      <c r="T4" s="241"/>
      <c r="U4" s="64" t="s">
        <v>1653</v>
      </c>
    </row>
    <row r="5" spans="1:31" s="60" customFormat="1" ht="15" hidden="1" customHeight="1">
      <c r="C5" s="312"/>
      <c r="AE5" s="248"/>
    </row>
    <row r="6" spans="1:31" ht="22.5" hidden="1" customHeight="1">
      <c r="A6" s="9"/>
      <c r="B6" s="1379"/>
      <c r="C6" s="1380"/>
      <c r="D6" s="401" t="str">
        <f>B6&amp;".1"</f>
        <v>.1</v>
      </c>
      <c r="E6" s="402" t="s">
        <v>1654</v>
      </c>
      <c r="F6" s="403" t="s">
        <v>308</v>
      </c>
      <c r="G6" s="399"/>
      <c r="H6" s="241"/>
      <c r="I6" s="399"/>
      <c r="J6" s="241"/>
      <c r="K6" s="399"/>
      <c r="L6" s="241"/>
      <c r="M6" s="399"/>
      <c r="N6" s="241"/>
      <c r="O6" s="399"/>
      <c r="P6" s="241"/>
      <c r="Q6" s="399"/>
      <c r="R6" s="241"/>
      <c r="S6" s="399"/>
      <c r="T6" s="241"/>
      <c r="U6" s="64" t="s">
        <v>1655</v>
      </c>
    </row>
    <row r="7" spans="1:31" ht="15" hidden="1" customHeight="1">
      <c r="A7" s="9"/>
      <c r="B7" s="1379"/>
      <c r="C7" s="1380"/>
      <c r="D7" s="401" t="str">
        <f>B6&amp;".2"</f>
        <v>.2</v>
      </c>
      <c r="E7" s="402" t="s">
        <v>1652</v>
      </c>
      <c r="F7" s="403" t="s">
        <v>308</v>
      </c>
      <c r="G7" s="978" t="s">
        <v>18</v>
      </c>
      <c r="H7" s="241"/>
      <c r="I7" s="978" t="s">
        <v>18</v>
      </c>
      <c r="J7" s="241"/>
      <c r="K7" s="978" t="s">
        <v>18</v>
      </c>
      <c r="L7" s="241"/>
      <c r="M7" s="978" t="s">
        <v>18</v>
      </c>
      <c r="N7" s="241"/>
      <c r="O7" s="978" t="s">
        <v>18</v>
      </c>
      <c r="P7" s="241"/>
      <c r="Q7" s="978" t="s">
        <v>18</v>
      </c>
      <c r="R7" s="241"/>
      <c r="S7" s="978" t="s">
        <v>18</v>
      </c>
      <c r="T7" s="241"/>
      <c r="U7" s="64" t="s">
        <v>1653</v>
      </c>
    </row>
    <row r="8" spans="1:31" s="60" customFormat="1" ht="15" hidden="1" customHeight="1">
      <c r="C8" s="312"/>
      <c r="AE8" s="248"/>
    </row>
    <row r="9" spans="1:31" ht="22.5" hidden="1" customHeight="1">
      <c r="A9" s="9"/>
      <c r="B9" s="1379"/>
      <c r="C9" s="1380"/>
      <c r="D9" s="401" t="str">
        <f>B9&amp;".1"</f>
        <v>.1</v>
      </c>
      <c r="E9" s="402" t="s">
        <v>1656</v>
      </c>
      <c r="F9" s="403" t="s">
        <v>308</v>
      </c>
      <c r="G9" s="408" t="s">
        <v>18</v>
      </c>
      <c r="H9" s="241" t="s">
        <v>18</v>
      </c>
      <c r="I9" s="408" t="s">
        <v>18</v>
      </c>
      <c r="J9" s="241" t="s">
        <v>18</v>
      </c>
      <c r="K9" s="408" t="s">
        <v>18</v>
      </c>
      <c r="L9" s="241" t="s">
        <v>18</v>
      </c>
      <c r="M9" s="408" t="s">
        <v>18</v>
      </c>
      <c r="N9" s="241" t="s">
        <v>18</v>
      </c>
      <c r="O9" s="408" t="s">
        <v>18</v>
      </c>
      <c r="P9" s="241" t="s">
        <v>18</v>
      </c>
      <c r="Q9" s="408" t="s">
        <v>18</v>
      </c>
      <c r="R9" s="241" t="s">
        <v>18</v>
      </c>
      <c r="S9" s="408" t="s">
        <v>18</v>
      </c>
      <c r="T9" s="241" t="s">
        <v>18</v>
      </c>
      <c r="U9" s="64"/>
    </row>
    <row r="10" spans="1:31" ht="15" hidden="1" customHeight="1">
      <c r="A10" s="9"/>
      <c r="B10" s="1379"/>
      <c r="C10" s="1380"/>
      <c r="D10" s="401" t="str">
        <f>B9&amp;".2"</f>
        <v>.2</v>
      </c>
      <c r="E10" s="402" t="s">
        <v>1657</v>
      </c>
      <c r="F10" s="403" t="s">
        <v>308</v>
      </c>
      <c r="G10" s="972" t="s">
        <v>18</v>
      </c>
      <c r="H10" s="241" t="s">
        <v>18</v>
      </c>
      <c r="I10" s="972" t="s">
        <v>18</v>
      </c>
      <c r="J10" s="241" t="s">
        <v>18</v>
      </c>
      <c r="K10" s="972" t="s">
        <v>18</v>
      </c>
      <c r="L10" s="241" t="s">
        <v>18</v>
      </c>
      <c r="M10" s="972" t="s">
        <v>18</v>
      </c>
      <c r="N10" s="241" t="s">
        <v>18</v>
      </c>
      <c r="O10" s="972" t="s">
        <v>18</v>
      </c>
      <c r="P10" s="241" t="s">
        <v>18</v>
      </c>
      <c r="Q10" s="972" t="s">
        <v>18</v>
      </c>
      <c r="R10" s="241" t="s">
        <v>18</v>
      </c>
      <c r="S10" s="972" t="s">
        <v>18</v>
      </c>
      <c r="T10" s="241" t="s">
        <v>18</v>
      </c>
      <c r="U10" s="64" t="s">
        <v>1658</v>
      </c>
    </row>
    <row r="11" spans="1:31" ht="15" hidden="1" customHeight="1">
      <c r="A11" s="9"/>
      <c r="B11" s="1379"/>
      <c r="C11" s="1380"/>
      <c r="D11" s="401" t="str">
        <f>B9&amp;".3"</f>
        <v>.3</v>
      </c>
      <c r="E11" s="402" t="s">
        <v>1659</v>
      </c>
      <c r="F11" s="403" t="s">
        <v>308</v>
      </c>
      <c r="G11" s="972" t="s">
        <v>18</v>
      </c>
      <c r="H11" s="241" t="s">
        <v>18</v>
      </c>
      <c r="I11" s="972" t="s">
        <v>18</v>
      </c>
      <c r="J11" s="241" t="s">
        <v>18</v>
      </c>
      <c r="K11" s="972" t="s">
        <v>18</v>
      </c>
      <c r="L11" s="241" t="s">
        <v>18</v>
      </c>
      <c r="M11" s="972" t="s">
        <v>18</v>
      </c>
      <c r="N11" s="241" t="s">
        <v>18</v>
      </c>
      <c r="O11" s="972" t="s">
        <v>18</v>
      </c>
      <c r="P11" s="241" t="s">
        <v>18</v>
      </c>
      <c r="Q11" s="972" t="s">
        <v>18</v>
      </c>
      <c r="R11" s="241" t="s">
        <v>18</v>
      </c>
      <c r="S11" s="972" t="s">
        <v>18</v>
      </c>
      <c r="T11" s="241" t="s">
        <v>18</v>
      </c>
      <c r="U11" s="64" t="s">
        <v>1660</v>
      </c>
    </row>
    <row r="12" spans="1:31" s="60" customFormat="1" ht="15" hidden="1" customHeight="1">
      <c r="C12" s="312"/>
      <c r="AE12" s="248"/>
    </row>
    <row r="13" spans="1:31" ht="33.75" hidden="1" customHeight="1">
      <c r="A13" s="9"/>
      <c r="B13" s="1379"/>
      <c r="C13" s="1380"/>
      <c r="D13" s="401" t="str">
        <f>B13&amp;".1"</f>
        <v>.1</v>
      </c>
      <c r="E13" s="402" t="s">
        <v>1661</v>
      </c>
      <c r="F13" s="403" t="s">
        <v>308</v>
      </c>
      <c r="G13" s="408" t="s">
        <v>18</v>
      </c>
      <c r="H13" s="241" t="s">
        <v>18</v>
      </c>
      <c r="I13" s="408" t="s">
        <v>18</v>
      </c>
      <c r="J13" s="241" t="s">
        <v>18</v>
      </c>
      <c r="K13" s="408" t="s">
        <v>18</v>
      </c>
      <c r="L13" s="241" t="s">
        <v>18</v>
      </c>
      <c r="M13" s="408" t="s">
        <v>18</v>
      </c>
      <c r="N13" s="241" t="s">
        <v>18</v>
      </c>
      <c r="O13" s="408" t="s">
        <v>18</v>
      </c>
      <c r="P13" s="241" t="s">
        <v>18</v>
      </c>
      <c r="Q13" s="408" t="s">
        <v>18</v>
      </c>
      <c r="R13" s="241" t="s">
        <v>18</v>
      </c>
      <c r="S13" s="408" t="s">
        <v>18</v>
      </c>
      <c r="T13" s="241" t="s">
        <v>18</v>
      </c>
      <c r="U13" s="64" t="s">
        <v>1662</v>
      </c>
    </row>
    <row r="14" spans="1:31" ht="15" hidden="1" customHeight="1">
      <c r="B14" s="1379"/>
      <c r="C14" s="1380"/>
      <c r="D14" s="401" t="str">
        <f>B13&amp;".2"</f>
        <v>.2</v>
      </c>
      <c r="E14" s="402" t="s">
        <v>1663</v>
      </c>
      <c r="F14" s="403" t="s">
        <v>308</v>
      </c>
      <c r="G14" s="972" t="s">
        <v>18</v>
      </c>
      <c r="H14" s="241" t="s">
        <v>18</v>
      </c>
      <c r="I14" s="972" t="s">
        <v>18</v>
      </c>
      <c r="J14" s="241" t="s">
        <v>18</v>
      </c>
      <c r="K14" s="972" t="s">
        <v>18</v>
      </c>
      <c r="L14" s="241" t="s">
        <v>18</v>
      </c>
      <c r="M14" s="972" t="s">
        <v>18</v>
      </c>
      <c r="N14" s="241" t="s">
        <v>18</v>
      </c>
      <c r="O14" s="972" t="s">
        <v>18</v>
      </c>
      <c r="P14" s="241" t="s">
        <v>18</v>
      </c>
      <c r="Q14" s="972" t="s">
        <v>18</v>
      </c>
      <c r="R14" s="241" t="s">
        <v>18</v>
      </c>
      <c r="S14" s="972" t="s">
        <v>18</v>
      </c>
      <c r="T14" s="241" t="s">
        <v>18</v>
      </c>
      <c r="U14" s="64" t="s">
        <v>1664</v>
      </c>
    </row>
    <row r="15" spans="1:31" s="60" customFormat="1" ht="15" hidden="1" customHeight="1">
      <c r="C15" s="312"/>
      <c r="AE15" s="248"/>
    </row>
    <row r="16" spans="1:31" s="60" customFormat="1" ht="15" hidden="1" customHeight="1">
      <c r="C16" s="312"/>
      <c r="AE16" s="248"/>
    </row>
    <row r="17" spans="1:31" s="60" customFormat="1" ht="15" hidden="1" customHeight="1">
      <c r="C17" s="312"/>
      <c r="AE17" s="248"/>
    </row>
    <row r="18" spans="1:31" s="60" customFormat="1" ht="15" hidden="1" customHeight="1">
      <c r="C18" s="312"/>
      <c r="AE18" s="248"/>
    </row>
    <row r="19" spans="1:31" s="60" customFormat="1" ht="15" hidden="1" customHeight="1">
      <c r="C19" s="312"/>
      <c r="AE19" s="248"/>
    </row>
    <row r="20" spans="1:31" s="60" customFormat="1" ht="15" hidden="1" customHeight="1">
      <c r="C20" s="312"/>
      <c r="AE20" s="248"/>
    </row>
    <row r="22" spans="1:31" ht="27.75" customHeight="1">
      <c r="D22" s="1312" t="s">
        <v>1665</v>
      </c>
      <c r="E22" s="1312"/>
      <c r="F22" s="1312"/>
      <c r="G22" s="1312"/>
      <c r="H22" s="1312"/>
      <c r="I22" s="1312"/>
      <c r="J22" s="351"/>
      <c r="K22" s="1042"/>
      <c r="L22" s="1042"/>
      <c r="M22" s="1042"/>
      <c r="N22" s="1042"/>
      <c r="O22" s="1042"/>
      <c r="P22" s="1042"/>
      <c r="Q22" s="1042"/>
      <c r="R22" s="1042"/>
      <c r="S22" s="1042"/>
      <c r="T22" s="1042"/>
    </row>
    <row r="23" spans="1:31" ht="15" customHeight="1">
      <c r="D23" s="1178" t="str">
        <f>IF(org=0,"Не определено",org)</f>
        <v>ООО "Концессионная Коммунальная Компания"</v>
      </c>
      <c r="E23" s="1178"/>
      <c r="F23" s="1178"/>
      <c r="G23" s="1178"/>
      <c r="H23" s="1178"/>
      <c r="I23" s="1178"/>
      <c r="J23" s="351"/>
      <c r="K23" s="1040"/>
      <c r="L23" s="1040"/>
      <c r="M23" s="1040"/>
      <c r="N23" s="1040"/>
      <c r="O23" s="1040"/>
      <c r="P23" s="1040"/>
      <c r="Q23" s="1040"/>
      <c r="R23" s="1040"/>
      <c r="S23" s="1040"/>
      <c r="T23" s="1040"/>
    </row>
    <row r="24" spans="1:31" ht="15" customHeight="1">
      <c r="G24" s="60">
        <v>22</v>
      </c>
      <c r="H24" s="442"/>
      <c r="I24" s="60">
        <v>22</v>
      </c>
      <c r="J24" s="442"/>
      <c r="K24" s="60" t="s">
        <v>18</v>
      </c>
      <c r="L24" s="442"/>
      <c r="M24" s="60" t="s">
        <v>18</v>
      </c>
      <c r="N24" s="442"/>
      <c r="O24" s="60" t="s">
        <v>18</v>
      </c>
      <c r="P24" s="442"/>
      <c r="Q24" s="60" t="s">
        <v>18</v>
      </c>
      <c r="R24" s="442"/>
      <c r="S24" s="60" t="s">
        <v>18</v>
      </c>
      <c r="T24" s="442"/>
    </row>
    <row r="25" spans="1:31" s="9" customFormat="1" ht="0.75" customHeight="1">
      <c r="A25" s="6"/>
      <c r="C25" s="84"/>
      <c r="G25" s="60"/>
      <c r="H25" s="442"/>
      <c r="I25" s="60" t="s">
        <v>126</v>
      </c>
      <c r="J25" s="442"/>
      <c r="K25" s="60" t="s">
        <v>133</v>
      </c>
      <c r="L25" s="442"/>
      <c r="M25" s="60" t="s">
        <v>130</v>
      </c>
      <c r="N25" s="442"/>
      <c r="O25" s="60" t="s">
        <v>131</v>
      </c>
      <c r="P25" s="442"/>
      <c r="Q25" s="60" t="s">
        <v>135</v>
      </c>
      <c r="R25" s="442"/>
      <c r="S25" s="60" t="s">
        <v>136</v>
      </c>
      <c r="T25" s="442"/>
      <c r="U25" s="60"/>
      <c r="AE25" s="313"/>
    </row>
    <row r="26" spans="1:31" ht="15" customHeight="1">
      <c r="D26" s="416"/>
      <c r="E26" s="1375" t="s">
        <v>115</v>
      </c>
      <c r="F26" s="1376"/>
      <c r="G26" s="1373" t="str">
        <f>IF(G25="","",INDEX(DIFFERENTIATION_UNMERGE_VD,MATCH(G25,DIFFERENTIATION_ID_DIFF,0)))</f>
        <v/>
      </c>
      <c r="H26" s="1374"/>
      <c r="I26" s="1373" t="str">
        <f>IF(I25="","",INDEX(DIFFERENTIATION_UNMERGE_VD,MATCH(I25,DIFFERENTIATION_ID_DIFF,0)))</f>
        <v>Холодное водоснабжение. Питьевая вода</v>
      </c>
      <c r="J26" s="1374"/>
      <c r="K26" s="1373" t="str">
        <f>IF(K25="","",INDEX(DIFFERENTIATION_UNMERGE_VD,MATCH(K25,DIFFERENTIATION_ID_DIFF,0)))</f>
        <v>Холодное водоснабжение. Техническая вода</v>
      </c>
      <c r="L26" s="1374"/>
      <c r="M26" s="1373" t="str">
        <f>IF(M25="","",INDEX(DIFFERENTIATION_UNMERGE_VD,MATCH(M25,DIFFERENTIATION_ID_DIFF,0)))</f>
        <v>Холодное водоснабжение. Питьевая вода</v>
      </c>
      <c r="N26" s="1374"/>
      <c r="O26" s="1373" t="str">
        <f>IF(O25="","",INDEX(DIFFERENTIATION_UNMERGE_VD,MATCH(O25,DIFFERENTIATION_ID_DIFF,0)))</f>
        <v>Холодное водоснабжение. Питьевая вода</v>
      </c>
      <c r="P26" s="1374"/>
      <c r="Q26" s="1373" t="str">
        <f>IF(Q25="","",INDEX(DIFFERENTIATION_UNMERGE_VD,MATCH(Q25,DIFFERENTIATION_ID_DIFF,0)))</f>
        <v>Холодное водоснабжение. Техническая вода</v>
      </c>
      <c r="R26" s="1374"/>
      <c r="S26" s="1373" t="str">
        <f>IF(S25="","",INDEX(DIFFERENTIATION_UNMERGE_VD,MATCH(S25,DIFFERENTIATION_ID_DIFF,0)))</f>
        <v>Холодное водоснабжение. Техническая вода</v>
      </c>
      <c r="T26" s="1374"/>
      <c r="U26" s="1145" t="s">
        <v>303</v>
      </c>
    </row>
    <row r="27" spans="1:31" s="9" customFormat="1" ht="15" customHeight="1">
      <c r="A27" s="6"/>
      <c r="C27" s="84"/>
      <c r="D27" s="416"/>
      <c r="E27" s="1375" t="s">
        <v>427</v>
      </c>
      <c r="F27" s="1376"/>
      <c r="G27" s="1373" t="str">
        <f>IF(G25="","",INDEX(DIFFERENTIATION_UNMERGE_AREA,MATCH(G25,DIFFERENTIATION_ID_DIFF,0)))</f>
        <v/>
      </c>
      <c r="H27" s="1374"/>
      <c r="I27" s="1373" t="str">
        <f>IF(I25="","",INDEX(DIFFERENTIATION_UNMERGE_AREA,MATCH(I25,DIFFERENTIATION_ID_DIFF,0)))</f>
        <v>Территория 1</v>
      </c>
      <c r="J27" s="1374"/>
      <c r="K27" s="1373" t="str">
        <f>IF(K25="","",INDEX(DIFFERENTIATION_UNMERGE_AREA,MATCH(K25,DIFFERENTIATION_ID_DIFF,0)))</f>
        <v>Территория 1</v>
      </c>
      <c r="L27" s="1374"/>
      <c r="M27" s="1373" t="str">
        <f>IF(M25="","",INDEX(DIFFERENTIATION_UNMERGE_AREA,MATCH(M25,DIFFERENTIATION_ID_DIFF,0)))</f>
        <v>Территория 2</v>
      </c>
      <c r="N27" s="1374"/>
      <c r="O27" s="1373" t="str">
        <f>IF(O25="","",INDEX(DIFFERENTIATION_UNMERGE_AREA,MATCH(O25,DIFFERENTIATION_ID_DIFF,0)))</f>
        <v>Территория 3</v>
      </c>
      <c r="P27" s="1374"/>
      <c r="Q27" s="1373" t="str">
        <f>IF(Q25="","",INDEX(DIFFERENTIATION_UNMERGE_AREA,MATCH(Q25,DIFFERENTIATION_ID_DIFF,0)))</f>
        <v>Территория 2</v>
      </c>
      <c r="R27" s="1374"/>
      <c r="S27" s="1373" t="str">
        <f>IF(S25="","",INDEX(DIFFERENTIATION_UNMERGE_AREA,MATCH(S25,DIFFERENTIATION_ID_DIFF,0)))</f>
        <v>Территория 3</v>
      </c>
      <c r="T27" s="1374"/>
      <c r="U27" s="1149"/>
      <c r="AE27" s="313"/>
    </row>
    <row r="28" spans="1:31" s="9" customFormat="1" ht="15" customHeight="1">
      <c r="A28" s="6"/>
      <c r="C28" s="84"/>
      <c r="D28" s="416"/>
      <c r="E28" s="1375" t="s">
        <v>428</v>
      </c>
      <c r="F28" s="1376"/>
      <c r="G28" s="1373" t="str">
        <f>IF(G25="","",INDEX(DIFFERENTIATION_UNMERGE_SYSTEM,MATCH(G25,DIFFERENTIATION_ID_DIFF,0)))</f>
        <v/>
      </c>
      <c r="H28" s="1374"/>
      <c r="I28" s="1373" t="str">
        <f>IF(I25="","",INDEX(DIFFERENTIATION_UNMERGE_SYSTEM,MATCH(I25,DIFFERENTIATION_ID_DIFF,0)))</f>
        <v>без дифференциации</v>
      </c>
      <c r="J28" s="1374"/>
      <c r="K28" s="1373" t="str">
        <f>IF(K25="","",INDEX(DIFFERENTIATION_UNMERGE_SYSTEM,MATCH(K25,DIFFERENTIATION_ID_DIFF,0)))</f>
        <v>без дифференциации</v>
      </c>
      <c r="L28" s="1374"/>
      <c r="M28" s="1373" t="str">
        <f>IF(M25="","",INDEX(DIFFERENTIATION_UNMERGE_SYSTEM,MATCH(M25,DIFFERENTIATION_ID_DIFF,0)))</f>
        <v>без дифференциации</v>
      </c>
      <c r="N28" s="1374"/>
      <c r="O28" s="1373" t="str">
        <f>IF(O25="","",INDEX(DIFFERENTIATION_UNMERGE_SYSTEM,MATCH(O25,DIFFERENTIATION_ID_DIFF,0)))</f>
        <v>без дифференциации</v>
      </c>
      <c r="P28" s="1374"/>
      <c r="Q28" s="1373" t="str">
        <f>IF(Q25="","",INDEX(DIFFERENTIATION_UNMERGE_SYSTEM,MATCH(Q25,DIFFERENTIATION_ID_DIFF,0)))</f>
        <v>без дифференциации</v>
      </c>
      <c r="R28" s="1374"/>
      <c r="S28" s="1373" t="str">
        <f>IF(S25="","",INDEX(DIFFERENTIATION_UNMERGE_SYSTEM,MATCH(S25,DIFFERENTIATION_ID_DIFF,0)))</f>
        <v>без дифференциации</v>
      </c>
      <c r="T28" s="1374"/>
      <c r="U28" s="1149"/>
      <c r="AE28" s="313"/>
    </row>
    <row r="29" spans="1:31" s="9" customFormat="1" ht="15" customHeight="1">
      <c r="A29" s="6"/>
      <c r="C29" s="84"/>
      <c r="D29" s="1377" t="s">
        <v>302</v>
      </c>
      <c r="E29" s="1378"/>
      <c r="F29" s="1378"/>
      <c r="G29" s="526"/>
      <c r="H29" s="526"/>
      <c r="I29" s="526"/>
      <c r="J29" s="527"/>
      <c r="K29" s="526"/>
      <c r="L29" s="526"/>
      <c r="M29" s="526"/>
      <c r="N29" s="526"/>
      <c r="O29" s="526"/>
      <c r="P29" s="526"/>
      <c r="Q29" s="526"/>
      <c r="R29" s="526"/>
      <c r="S29" s="526"/>
      <c r="T29" s="526"/>
      <c r="U29" s="1149"/>
      <c r="AE29" s="313"/>
    </row>
    <row r="30" spans="1:31" ht="33.75" customHeight="1">
      <c r="D30" s="39" t="s">
        <v>88</v>
      </c>
      <c r="E30" s="39" t="s">
        <v>304</v>
      </c>
      <c r="F30" s="39" t="s">
        <v>1623</v>
      </c>
      <c r="G30" s="397" t="s">
        <v>305</v>
      </c>
      <c r="H30" s="39" t="s">
        <v>394</v>
      </c>
      <c r="I30" s="397" t="s">
        <v>305</v>
      </c>
      <c r="J30" s="39" t="s">
        <v>394</v>
      </c>
      <c r="K30" s="397" t="s">
        <v>305</v>
      </c>
      <c r="L30" s="39" t="s">
        <v>394</v>
      </c>
      <c r="M30" s="397" t="s">
        <v>305</v>
      </c>
      <c r="N30" s="39" t="s">
        <v>394</v>
      </c>
      <c r="O30" s="397" t="s">
        <v>305</v>
      </c>
      <c r="P30" s="39" t="s">
        <v>394</v>
      </c>
      <c r="Q30" s="397" t="s">
        <v>305</v>
      </c>
      <c r="R30" s="39" t="s">
        <v>394</v>
      </c>
      <c r="S30" s="397" t="s">
        <v>305</v>
      </c>
      <c r="T30" s="39" t="s">
        <v>394</v>
      </c>
      <c r="U30" s="1152"/>
    </row>
    <row r="31" spans="1:31" ht="15" hidden="1" customHeight="1">
      <c r="D31" s="353"/>
      <c r="E31" s="353"/>
      <c r="F31" s="353"/>
      <c r="G31" s="84"/>
      <c r="H31" s="84"/>
      <c r="I31" s="84"/>
      <c r="J31" s="84"/>
      <c r="K31" s="84"/>
      <c r="L31" s="84"/>
      <c r="M31" s="84"/>
      <c r="N31" s="84"/>
      <c r="O31" s="84"/>
      <c r="P31" s="84"/>
      <c r="Q31" s="84"/>
      <c r="R31" s="84"/>
      <c r="S31" s="84"/>
      <c r="T31" s="84"/>
      <c r="U31" s="64"/>
    </row>
    <row r="32" spans="1:31" ht="22.5" customHeight="1">
      <c r="A32" s="9"/>
      <c r="B32" s="9" t="s">
        <v>1666</v>
      </c>
      <c r="C32" s="74"/>
      <c r="D32" s="404">
        <v>1</v>
      </c>
      <c r="E32" s="187" t="s">
        <v>1667</v>
      </c>
      <c r="F32" s="403" t="s">
        <v>308</v>
      </c>
      <c r="G32" s="403" t="s">
        <v>308</v>
      </c>
      <c r="H32" s="403" t="s">
        <v>308</v>
      </c>
      <c r="I32" s="403" t="s">
        <v>308</v>
      </c>
      <c r="J32" s="403" t="s">
        <v>308</v>
      </c>
      <c r="K32" s="403" t="s">
        <v>308</v>
      </c>
      <c r="L32" s="403" t="s">
        <v>308</v>
      </c>
      <c r="M32" s="403" t="s">
        <v>308</v>
      </c>
      <c r="N32" s="403" t="s">
        <v>308</v>
      </c>
      <c r="O32" s="403" t="s">
        <v>308</v>
      </c>
      <c r="P32" s="403" t="s">
        <v>308</v>
      </c>
      <c r="Q32" s="403" t="s">
        <v>308</v>
      </c>
      <c r="R32" s="403" t="s">
        <v>308</v>
      </c>
      <c r="S32" s="403" t="s">
        <v>308</v>
      </c>
      <c r="T32" s="403" t="s">
        <v>308</v>
      </c>
      <c r="U32" s="64"/>
    </row>
    <row r="33" spans="1:31" ht="11.25" customHeight="1">
      <c r="A33" s="9"/>
      <c r="C33" s="9"/>
      <c r="D33" s="38"/>
      <c r="E33" s="107" t="s">
        <v>1580</v>
      </c>
      <c r="F33" s="343"/>
      <c r="G33" s="343"/>
      <c r="H33" s="343"/>
      <c r="I33" s="343"/>
      <c r="J33" s="343"/>
      <c r="K33" s="343"/>
      <c r="L33" s="343"/>
      <c r="M33" s="343"/>
      <c r="N33" s="343"/>
      <c r="O33" s="343"/>
      <c r="P33" s="343"/>
      <c r="Q33" s="343"/>
      <c r="R33" s="343"/>
      <c r="S33" s="343"/>
      <c r="T33" s="343"/>
      <c r="U33" s="344"/>
      <c r="AE33" s="9"/>
    </row>
    <row r="34" spans="1:31" ht="22.5" customHeight="1">
      <c r="A34" s="9"/>
      <c r="B34" s="351" t="s">
        <v>462</v>
      </c>
      <c r="C34" s="74"/>
      <c r="D34" s="404">
        <v>2</v>
      </c>
      <c r="E34" s="187" t="s">
        <v>1668</v>
      </c>
      <c r="F34" s="403" t="s">
        <v>308</v>
      </c>
      <c r="G34" s="403" t="s">
        <v>308</v>
      </c>
      <c r="H34" s="403" t="s">
        <v>308</v>
      </c>
      <c r="I34" s="403"/>
      <c r="J34" s="403"/>
      <c r="K34" s="403" t="s">
        <v>308</v>
      </c>
      <c r="L34" s="403" t="s">
        <v>308</v>
      </c>
      <c r="M34" s="403" t="s">
        <v>308</v>
      </c>
      <c r="N34" s="403" t="s">
        <v>308</v>
      </c>
      <c r="O34" s="403" t="s">
        <v>308</v>
      </c>
      <c r="P34" s="403" t="s">
        <v>308</v>
      </c>
      <c r="Q34" s="403" t="s">
        <v>308</v>
      </c>
      <c r="R34" s="403" t="s">
        <v>308</v>
      </c>
      <c r="S34" s="403" t="s">
        <v>308</v>
      </c>
      <c r="T34" s="403" t="s">
        <v>308</v>
      </c>
      <c r="U34" s="64"/>
    </row>
    <row r="35" spans="1:31" ht="11.25" customHeight="1">
      <c r="A35" s="9"/>
      <c r="C35" s="9"/>
      <c r="D35" s="38"/>
      <c r="E35" s="107" t="s">
        <v>1669</v>
      </c>
      <c r="F35" s="343"/>
      <c r="G35" s="405"/>
      <c r="H35" s="343"/>
      <c r="I35" s="405"/>
      <c r="J35" s="343"/>
      <c r="K35" s="405"/>
      <c r="L35" s="343"/>
      <c r="M35" s="405"/>
      <c r="N35" s="343"/>
      <c r="O35" s="405"/>
      <c r="P35" s="343"/>
      <c r="Q35" s="405"/>
      <c r="R35" s="343"/>
      <c r="S35" s="405"/>
      <c r="T35" s="343"/>
      <c r="U35" s="344"/>
      <c r="AE35" s="9"/>
    </row>
    <row r="36" spans="1:31" ht="67.5" customHeight="1">
      <c r="A36" s="9"/>
      <c r="B36" s="9" t="s">
        <v>1670</v>
      </c>
      <c r="C36" s="74"/>
      <c r="D36" s="404">
        <v>3</v>
      </c>
      <c r="E36" s="187" t="s">
        <v>1671</v>
      </c>
      <c r="F36" s="406" t="s">
        <v>308</v>
      </c>
      <c r="G36" s="308" t="s">
        <v>1672</v>
      </c>
      <c r="H36" s="403" t="s">
        <v>308</v>
      </c>
      <c r="I36" s="308" t="s">
        <v>1672</v>
      </c>
      <c r="J36" s="403" t="s">
        <v>308</v>
      </c>
      <c r="K36" s="308" t="s">
        <v>1672</v>
      </c>
      <c r="L36" s="403" t="s">
        <v>308</v>
      </c>
      <c r="M36" s="308" t="s">
        <v>1672</v>
      </c>
      <c r="N36" s="403" t="s">
        <v>308</v>
      </c>
      <c r="O36" s="308" t="s">
        <v>1672</v>
      </c>
      <c r="P36" s="403" t="s">
        <v>308</v>
      </c>
      <c r="Q36" s="308" t="s">
        <v>1672</v>
      </c>
      <c r="R36" s="403" t="s">
        <v>308</v>
      </c>
      <c r="S36" s="308" t="s">
        <v>1672</v>
      </c>
      <c r="T36" s="403" t="s">
        <v>308</v>
      </c>
      <c r="U36" s="64" t="s">
        <v>1673</v>
      </c>
    </row>
    <row r="37" spans="1:31" ht="11.25" customHeight="1">
      <c r="A37" s="9"/>
      <c r="C37" s="9"/>
      <c r="D37" s="38"/>
      <c r="E37" s="107" t="s">
        <v>1674</v>
      </c>
      <c r="F37" s="343"/>
      <c r="G37" s="405"/>
      <c r="H37" s="405"/>
      <c r="I37" s="405"/>
      <c r="J37" s="405"/>
      <c r="K37" s="405"/>
      <c r="L37" s="405"/>
      <c r="M37" s="405"/>
      <c r="N37" s="405"/>
      <c r="O37" s="405"/>
      <c r="P37" s="405"/>
      <c r="Q37" s="405"/>
      <c r="R37" s="405"/>
      <c r="S37" s="405"/>
      <c r="T37" s="405"/>
      <c r="U37" s="344"/>
      <c r="AE37" s="9"/>
    </row>
    <row r="38" spans="1:31" ht="67.5" customHeight="1">
      <c r="A38" s="9"/>
      <c r="B38" s="9" t="s">
        <v>1675</v>
      </c>
      <c r="C38" s="74"/>
      <c r="D38" s="404">
        <v>4</v>
      </c>
      <c r="E38" s="187" t="s">
        <v>1676</v>
      </c>
      <c r="F38" s="406" t="s">
        <v>308</v>
      </c>
      <c r="G38" s="308" t="s">
        <v>1672</v>
      </c>
      <c r="H38" s="39" t="s">
        <v>308</v>
      </c>
      <c r="I38" s="308" t="s">
        <v>1672</v>
      </c>
      <c r="J38" s="39" t="s">
        <v>308</v>
      </c>
      <c r="K38" s="308" t="s">
        <v>1672</v>
      </c>
      <c r="L38" s="39" t="s">
        <v>308</v>
      </c>
      <c r="M38" s="308" t="s">
        <v>1672</v>
      </c>
      <c r="N38" s="39" t="s">
        <v>308</v>
      </c>
      <c r="O38" s="308" t="s">
        <v>1672</v>
      </c>
      <c r="P38" s="39" t="s">
        <v>308</v>
      </c>
      <c r="Q38" s="308" t="s">
        <v>1672</v>
      </c>
      <c r="R38" s="39" t="s">
        <v>308</v>
      </c>
      <c r="S38" s="308" t="s">
        <v>1672</v>
      </c>
      <c r="T38" s="39" t="s">
        <v>308</v>
      </c>
      <c r="U38" s="393" t="s">
        <v>1677</v>
      </c>
    </row>
    <row r="39" spans="1:31" ht="11.25" customHeight="1">
      <c r="A39" s="9"/>
      <c r="C39" s="9"/>
      <c r="D39" s="38"/>
      <c r="E39" s="107" t="s">
        <v>1678</v>
      </c>
      <c r="F39" s="343"/>
      <c r="G39" s="343"/>
      <c r="H39" s="407"/>
      <c r="I39" s="343"/>
      <c r="J39" s="407"/>
      <c r="K39" s="343"/>
      <c r="L39" s="407"/>
      <c r="M39" s="343"/>
      <c r="N39" s="407"/>
      <c r="O39" s="343"/>
      <c r="P39" s="407"/>
      <c r="Q39" s="343"/>
      <c r="R39" s="407"/>
      <c r="S39" s="343"/>
      <c r="T39" s="407"/>
      <c r="U39" s="344"/>
      <c r="AE39" s="9"/>
    </row>
  </sheetData>
  <sheetProtection formatColumns="0" formatRows="0" insertRows="0" deleteColumns="0" deleteRows="0" sort="0" autoFilter="0"/>
  <mergeCells count="36">
    <mergeCell ref="S28:T28"/>
    <mergeCell ref="S26:T26"/>
    <mergeCell ref="S27:T27"/>
    <mergeCell ref="O26:P26"/>
    <mergeCell ref="O27:P27"/>
    <mergeCell ref="Q28:R28"/>
    <mergeCell ref="Q26:R26"/>
    <mergeCell ref="Q27:R27"/>
    <mergeCell ref="G28:H28"/>
    <mergeCell ref="U26: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000-00000000000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xr:uid="{00000000-0002-0000-20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xr:uid="{00000000-0002-0000-20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J3:J4 L3:L4 N3:N4 P3:P4 R3:R4 T3:T4 J6:J7 L6:L7 N6:N7 P6:P7 R6:R7 T6:T7 H3:H4 H6:H7 H9:H11 H13:H14 J9:J11 L9:L11 N9:N11 P9:P11 R9:R11 T9:T11" xr:uid="{00000000-0002-0000-2000-000003000000}">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xr:uid="{00000000-0002-0000-20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C3E57-1407-5594-1798-804FCDE17978}">
  <sheetPr>
    <tabColor theme="6" tint="0.39997558519241921"/>
  </sheetPr>
  <dimension ref="A1:AF215"/>
  <sheetViews>
    <sheetView showGridLines="0" topLeftCell="C7" zoomScale="86" workbookViewId="0"/>
  </sheetViews>
  <sheetFormatPr defaultColWidth="10.5703125" defaultRowHeight="14.25" customHeight="1"/>
  <cols>
    <col min="1" max="1" width="25.140625" style="948" hidden="1" customWidth="1"/>
    <col min="2" max="2" width="9.140625" style="1" hidden="1" customWidth="1"/>
    <col min="3" max="3" width="3.7109375" style="28" customWidth="1"/>
    <col min="4" max="4" width="6.28515625" style="9" customWidth="1"/>
    <col min="5" max="5" width="46.7109375" style="9" customWidth="1"/>
    <col min="6" max="6" width="35.7109375" style="9" customWidth="1"/>
    <col min="7" max="7" width="3.7109375" style="9" customWidth="1"/>
    <col min="8" max="9" width="11.7109375" style="9" customWidth="1"/>
    <col min="10" max="11" width="35.7109375" style="9" customWidth="1"/>
    <col min="12" max="12" width="84.85546875" style="9" customWidth="1"/>
    <col min="13" max="13" width="10.5703125" style="9"/>
    <col min="14" max="15" width="10.5703125" style="66"/>
    <col min="16" max="32" width="10.5703125" style="9"/>
  </cols>
  <sheetData>
    <row r="1" spans="1:32" s="9" customFormat="1" ht="14.25" hidden="1" customHeight="1">
      <c r="A1" s="948"/>
      <c r="B1" s="1"/>
      <c r="C1" s="28"/>
      <c r="N1" s="66"/>
      <c r="O1" s="66"/>
      <c r="S1" s="77"/>
      <c r="AF1" s="147"/>
    </row>
    <row r="2" spans="1:32" s="9" customFormat="1" ht="56.25" hidden="1" customHeight="1">
      <c r="A2" s="2"/>
      <c r="B2" s="1"/>
      <c r="C2" s="28"/>
      <c r="D2" s="621"/>
      <c r="E2" s="621"/>
      <c r="F2" s="621"/>
      <c r="G2" s="788"/>
      <c r="H2" s="979"/>
      <c r="I2" s="1006"/>
      <c r="J2" s="1005"/>
      <c r="K2" s="788" t="s">
        <v>308</v>
      </c>
      <c r="M2" s="202"/>
      <c r="N2" s="66"/>
      <c r="O2" s="66"/>
    </row>
    <row r="3" spans="1:32" ht="14.25" hidden="1" customHeight="1">
      <c r="S3" s="77"/>
      <c r="AF3" s="147"/>
    </row>
    <row r="4" spans="1:32" s="9" customFormat="1" ht="56.25" hidden="1" customHeight="1">
      <c r="A4" s="2"/>
      <c r="B4" s="1"/>
      <c r="C4" s="28"/>
      <c r="D4" s="621"/>
      <c r="E4" s="621"/>
      <c r="F4" s="621"/>
      <c r="G4" s="37"/>
      <c r="H4" s="979"/>
      <c r="I4" s="1006"/>
      <c r="J4" s="227"/>
      <c r="K4" s="788" t="s">
        <v>308</v>
      </c>
      <c r="M4" s="202"/>
      <c r="N4" s="66"/>
      <c r="O4" s="66"/>
    </row>
    <row r="5" spans="1:32" ht="14.25" hidden="1" customHeight="1"/>
    <row r="6" spans="1:32" ht="14.25" hidden="1" customHeight="1"/>
    <row r="7" spans="1:32" ht="6" customHeight="1">
      <c r="C7" s="27"/>
      <c r="D7" s="8"/>
      <c r="E7" s="8"/>
      <c r="F7" s="8"/>
      <c r="G7" s="8"/>
      <c r="H7" s="8"/>
      <c r="I7" s="8"/>
      <c r="J7" s="8"/>
      <c r="K7" s="18"/>
      <c r="L7" s="18"/>
    </row>
    <row r="8" spans="1:32" ht="26.25" customHeight="1">
      <c r="C8" s="27"/>
      <c r="D8" s="13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1367"/>
      <c r="F8" s="1367"/>
      <c r="G8" s="1367"/>
      <c r="H8" s="1367"/>
      <c r="I8" s="1367"/>
      <c r="J8" s="1367"/>
      <c r="K8" s="1367"/>
      <c r="L8" s="57"/>
    </row>
    <row r="9" spans="1:32" ht="6" customHeight="1">
      <c r="C9" s="27"/>
      <c r="D9" s="8"/>
      <c r="E9" s="12"/>
      <c r="F9" s="12"/>
      <c r="G9" s="12"/>
      <c r="H9" s="12"/>
      <c r="I9" s="12"/>
      <c r="J9" s="12"/>
      <c r="K9" s="193"/>
      <c r="L9" s="98"/>
    </row>
    <row r="10" spans="1:32" ht="18.75" customHeight="1">
      <c r="C10" s="27"/>
      <c r="D10" s="8"/>
      <c r="E10" s="176" t="str">
        <f>"Дата подачи заявления об "&amp;IF(TITLE_DATE_PR_CHANGE="","утверждении","изменении")&amp;" тарифов"</f>
        <v>Дата подачи заявления об утверждении тарифов</v>
      </c>
      <c r="F10" s="1280" t="str">
        <f>IF(TITLE_DATE_CHANGE_PERIOD="",IF(TITLE_DATE_PR="","",TITLE_DATE_PR),TITLE_DATE_CHANGE_PERIOD)</f>
        <v/>
      </c>
      <c r="G10" s="1280"/>
      <c r="H10" s="1280"/>
      <c r="I10" s="1280"/>
      <c r="J10" s="1280"/>
      <c r="K10" s="1280"/>
      <c r="L10" s="202"/>
    </row>
    <row r="11" spans="1:32" ht="18.75" customHeight="1">
      <c r="C11" s="27"/>
      <c r="D11" s="8"/>
      <c r="E11" s="176" t="str">
        <f>"Номер подачи заявления об "&amp;IF(TITLE_DATE_PR_CHANGE="","утверждении","изменении")&amp;" тарифов"</f>
        <v>Номер подачи заявления об утверждении тарифов</v>
      </c>
      <c r="F11" s="1280" t="str">
        <f>IF(TITLE_NUMBER_PR_CHANGE="",IF(TITLE_NUMBER_PR="","",TITLE_NUMBER_PR),TITLE_NUMBER_PR_CHANGE)</f>
        <v/>
      </c>
      <c r="G11" s="1280"/>
      <c r="H11" s="1280"/>
      <c r="I11" s="1280"/>
      <c r="J11" s="1280"/>
      <c r="K11" s="1280"/>
      <c r="L11" s="202"/>
    </row>
    <row r="12" spans="1:32" ht="14.25" customHeight="1">
      <c r="C12" s="27"/>
      <c r="D12" s="8"/>
      <c r="E12" s="12"/>
      <c r="F12" s="12"/>
      <c r="G12" s="12"/>
      <c r="H12" s="12"/>
      <c r="I12" s="12"/>
      <c r="J12" s="12"/>
      <c r="K12" s="442"/>
      <c r="L12" s="98"/>
    </row>
    <row r="13" spans="1:32" ht="21" customHeight="1">
      <c r="C13" s="27"/>
      <c r="D13" s="1176" t="s">
        <v>302</v>
      </c>
      <c r="E13" s="1176"/>
      <c r="F13" s="1176"/>
      <c r="G13" s="1176"/>
      <c r="H13" s="1176"/>
      <c r="I13" s="1176"/>
      <c r="J13" s="1176"/>
      <c r="K13" s="1176"/>
      <c r="L13" s="1274" t="s">
        <v>303</v>
      </c>
    </row>
    <row r="14" spans="1:32" ht="21" customHeight="1">
      <c r="C14" s="27"/>
      <c r="D14" s="1303" t="s">
        <v>88</v>
      </c>
      <c r="E14" s="1183" t="s">
        <v>138</v>
      </c>
      <c r="F14" s="1183" t="s">
        <v>139</v>
      </c>
      <c r="G14" s="1382" t="s">
        <v>1679</v>
      </c>
      <c r="H14" s="1383"/>
      <c r="I14" s="1384"/>
      <c r="J14" s="1183" t="s">
        <v>305</v>
      </c>
      <c r="K14" s="1183" t="s">
        <v>394</v>
      </c>
      <c r="L14" s="1274"/>
    </row>
    <row r="15" spans="1:32" ht="21" customHeight="1">
      <c r="C15" s="27"/>
      <c r="D15" s="1305"/>
      <c r="E15" s="1184"/>
      <c r="F15" s="1184"/>
      <c r="G15" s="1182" t="s">
        <v>1558</v>
      </c>
      <c r="H15" s="1195"/>
      <c r="I15" s="37" t="s">
        <v>1680</v>
      </c>
      <c r="J15" s="1184"/>
      <c r="K15" s="1184"/>
      <c r="L15" s="1274"/>
    </row>
    <row r="16" spans="1:32" ht="12" hidden="1" customHeight="1">
      <c r="C16" s="27"/>
      <c r="D16" s="20"/>
      <c r="E16" s="20"/>
      <c r="F16" s="20"/>
      <c r="G16" s="1385"/>
      <c r="H16" s="1385"/>
      <c r="I16" s="20"/>
      <c r="J16" s="20"/>
      <c r="K16" s="20"/>
      <c r="L16" s="20"/>
    </row>
    <row r="17" spans="1:15" ht="18.75" customHeight="1">
      <c r="A17" s="2"/>
      <c r="C17" s="27"/>
      <c r="D17" s="61" t="s">
        <v>119</v>
      </c>
      <c r="E17" s="1371" t="str">
        <f>"Предлагаемый метод регулирования"&amp;IF(TEMPLATE_SPHERE="HEAT"," в сфере "&amp;TEMPLATE_SPHERE_RUS,"")</f>
        <v>Предлагаемый метод регулирования</v>
      </c>
      <c r="F17" s="1371"/>
      <c r="G17" s="1371"/>
      <c r="H17" s="1371"/>
      <c r="I17" s="1371"/>
      <c r="J17" s="1386" t="s">
        <v>308</v>
      </c>
      <c r="K17" s="1371"/>
      <c r="L17" s="150"/>
      <c r="M17" s="202"/>
    </row>
    <row r="18" spans="1:15" ht="56.25" hidden="1" customHeight="1">
      <c r="A18" s="2" t="s">
        <v>171</v>
      </c>
      <c r="C18" s="1381"/>
      <c r="D18" s="1170"/>
      <c r="E18" s="122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1225" t="str">
        <f>INDEX(PT_DIFFERENTIATION_VDET,MATCH(A18,PT_DIFFERENTIATION_VTAR_ID,0))</f>
        <v/>
      </c>
      <c r="G18" s="37"/>
      <c r="H18" s="979"/>
      <c r="I18" s="1006"/>
      <c r="J18" s="1005"/>
      <c r="K18" s="788" t="s">
        <v>308</v>
      </c>
      <c r="L18" s="11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02"/>
    </row>
    <row r="19" spans="1:15" ht="18.75" hidden="1" customHeight="1">
      <c r="A19" s="2"/>
      <c r="B19" s="1" t="s">
        <v>1681</v>
      </c>
      <c r="C19" s="1381"/>
      <c r="D19" s="1170"/>
      <c r="E19" s="1225"/>
      <c r="F19" s="1225"/>
      <c r="G19" s="239"/>
      <c r="H19" s="50" t="s">
        <v>1579</v>
      </c>
      <c r="I19" s="108"/>
      <c r="J19" s="240"/>
      <c r="K19" s="105"/>
      <c r="L19" s="1136"/>
      <c r="M19" s="202"/>
    </row>
    <row r="20" spans="1:15" s="9" customFormat="1" ht="26.25" hidden="1" customHeight="1">
      <c r="A20" s="2" t="s">
        <v>177</v>
      </c>
      <c r="B20" s="1"/>
      <c r="C20" s="1381"/>
      <c r="D20" s="1170"/>
      <c r="E20" s="122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1225" t="str">
        <f>INDEX(PT_DIFFERENTIATION_VDET,MATCH(A20,PT_DIFFERENTIATION_VTAR_ID,0))</f>
        <v/>
      </c>
      <c r="G20" s="37"/>
      <c r="H20" s="979"/>
      <c r="I20" s="1006"/>
      <c r="J20" s="1005"/>
      <c r="K20" s="788" t="s">
        <v>308</v>
      </c>
      <c r="L20" s="1136"/>
      <c r="M20" s="202"/>
      <c r="N20" s="66"/>
      <c r="O20" s="66"/>
    </row>
    <row r="21" spans="1:15" s="9" customFormat="1" ht="18.75" hidden="1" customHeight="1">
      <c r="A21" s="2"/>
      <c r="B21" s="1" t="s">
        <v>1681</v>
      </c>
      <c r="C21" s="1381"/>
      <c r="D21" s="1170"/>
      <c r="E21" s="1225"/>
      <c r="F21" s="1225"/>
      <c r="G21" s="239"/>
      <c r="H21" s="50" t="s">
        <v>1579</v>
      </c>
      <c r="I21" s="108"/>
      <c r="J21" s="240"/>
      <c r="K21" s="105"/>
      <c r="L21" s="1136"/>
      <c r="M21" s="202"/>
      <c r="N21" s="66"/>
      <c r="O21" s="66"/>
    </row>
    <row r="22" spans="1:15" s="9" customFormat="1" ht="18.75" hidden="1" customHeight="1">
      <c r="A22" s="2" t="s">
        <v>183</v>
      </c>
      <c r="B22" s="1"/>
      <c r="C22" s="1381"/>
      <c r="D22" s="1170"/>
      <c r="E22" s="122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1225" t="str">
        <f>INDEX(PT_DIFFERENTIATION_VDET,MATCH(A22,PT_DIFFERENTIATION_VTAR_ID,0))</f>
        <v/>
      </c>
      <c r="G22" s="37"/>
      <c r="H22" s="979"/>
      <c r="I22" s="1006"/>
      <c r="J22" s="1005"/>
      <c r="K22" s="788" t="s">
        <v>308</v>
      </c>
      <c r="L22" s="1136"/>
      <c r="M22" s="202"/>
      <c r="N22" s="66"/>
      <c r="O22" s="66"/>
    </row>
    <row r="23" spans="1:15" s="9" customFormat="1" ht="18.75" hidden="1" customHeight="1">
      <c r="A23" s="2"/>
      <c r="B23" s="1" t="s">
        <v>1681</v>
      </c>
      <c r="C23" s="1381"/>
      <c r="D23" s="1170"/>
      <c r="E23" s="1225"/>
      <c r="F23" s="1225"/>
      <c r="G23" s="239"/>
      <c r="H23" s="50" t="s">
        <v>1579</v>
      </c>
      <c r="I23" s="108"/>
      <c r="J23" s="240"/>
      <c r="K23" s="105"/>
      <c r="L23" s="1136"/>
      <c r="M23" s="202"/>
      <c r="N23" s="66"/>
      <c r="O23" s="66"/>
    </row>
    <row r="24" spans="1:15" s="9" customFormat="1" ht="41.25" hidden="1" customHeight="1">
      <c r="A24" s="2" t="s">
        <v>189</v>
      </c>
      <c r="B24" s="1"/>
      <c r="C24" s="1381"/>
      <c r="D24" s="1170"/>
      <c r="E24" s="122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1225" t="str">
        <f>INDEX(PT_DIFFERENTIATION_VDET,MATCH(A24,PT_DIFFERENTIATION_VTAR_ID,0))</f>
        <v/>
      </c>
      <c r="G24" s="37"/>
      <c r="H24" s="979"/>
      <c r="I24" s="1006"/>
      <c r="J24" s="1005"/>
      <c r="K24" s="788" t="s">
        <v>308</v>
      </c>
      <c r="L24" s="1136"/>
      <c r="M24" s="202"/>
      <c r="N24" s="66"/>
      <c r="O24" s="66"/>
    </row>
    <row r="25" spans="1:15" s="9" customFormat="1" ht="18.75" hidden="1" customHeight="1">
      <c r="A25" s="2"/>
      <c r="B25" s="1" t="s">
        <v>1681</v>
      </c>
      <c r="C25" s="1381"/>
      <c r="D25" s="1170"/>
      <c r="E25" s="1225"/>
      <c r="F25" s="1225"/>
      <c r="G25" s="239"/>
      <c r="H25" s="50" t="s">
        <v>1579</v>
      </c>
      <c r="I25" s="108"/>
      <c r="J25" s="240"/>
      <c r="K25" s="105"/>
      <c r="L25" s="1136"/>
      <c r="M25" s="202"/>
      <c r="N25" s="66"/>
      <c r="O25" s="66"/>
    </row>
    <row r="26" spans="1:15" s="9" customFormat="1" ht="18.75" hidden="1" customHeight="1">
      <c r="A26" s="2" t="s">
        <v>195</v>
      </c>
      <c r="B26" s="1"/>
      <c r="C26" s="1381"/>
      <c r="D26" s="1170"/>
      <c r="E26" s="1225" t="str">
        <f>INDEX(PT_DIFFERENTIATION_VTAR,MATCH(A26,PT_DIFFERENTIATION_VTAR_ID,0))</f>
        <v>Тарифы на услуги по передаче тепловой энергии</v>
      </c>
      <c r="F26" s="1225" t="str">
        <f>INDEX(PT_DIFFERENTIATION_VDET,MATCH(A26,PT_DIFFERENTIATION_VTAR_ID,0))</f>
        <v/>
      </c>
      <c r="G26" s="37"/>
      <c r="H26" s="979"/>
      <c r="I26" s="1006"/>
      <c r="J26" s="1005"/>
      <c r="K26" s="788" t="s">
        <v>308</v>
      </c>
      <c r="L26" s="1136"/>
      <c r="M26" s="202"/>
      <c r="N26" s="66"/>
      <c r="O26" s="66"/>
    </row>
    <row r="27" spans="1:15" s="9" customFormat="1" ht="18.75" hidden="1" customHeight="1">
      <c r="A27" s="2"/>
      <c r="B27" s="1" t="s">
        <v>1681</v>
      </c>
      <c r="C27" s="1381"/>
      <c r="D27" s="1170"/>
      <c r="E27" s="1225"/>
      <c r="F27" s="1225"/>
      <c r="G27" s="239"/>
      <c r="H27" s="50" t="s">
        <v>1579</v>
      </c>
      <c r="I27" s="108"/>
      <c r="J27" s="240"/>
      <c r="K27" s="105"/>
      <c r="L27" s="1136"/>
      <c r="M27" s="202"/>
      <c r="N27" s="66"/>
      <c r="O27" s="66"/>
    </row>
    <row r="28" spans="1:15" s="9" customFormat="1" ht="18.75" hidden="1" customHeight="1">
      <c r="A28" s="2" t="s">
        <v>201</v>
      </c>
      <c r="B28" s="1"/>
      <c r="C28" s="1381"/>
      <c r="D28" s="1170"/>
      <c r="E28" s="1225" t="str">
        <f>INDEX(PT_DIFFERENTIATION_VTAR,MATCH(A28,PT_DIFFERENTIATION_VTAR_ID,0))</f>
        <v>Тарифы на услуги по передаче теплоносителя</v>
      </c>
      <c r="F28" s="1225" t="str">
        <f>INDEX(PT_DIFFERENTIATION_VDET,MATCH(A28,PT_DIFFERENTIATION_VTAR_ID,0))</f>
        <v/>
      </c>
      <c r="G28" s="37"/>
      <c r="H28" s="979"/>
      <c r="I28" s="1006"/>
      <c r="J28" s="1005"/>
      <c r="K28" s="788" t="s">
        <v>308</v>
      </c>
      <c r="L28" s="1136"/>
      <c r="M28" s="202"/>
      <c r="N28" s="66"/>
      <c r="O28" s="66"/>
    </row>
    <row r="29" spans="1:15" s="9" customFormat="1" ht="18.75" hidden="1" customHeight="1">
      <c r="A29" s="2"/>
      <c r="B29" s="1" t="s">
        <v>1681</v>
      </c>
      <c r="C29" s="1381"/>
      <c r="D29" s="1170"/>
      <c r="E29" s="1225"/>
      <c r="F29" s="1225"/>
      <c r="G29" s="239"/>
      <c r="H29" s="50" t="s">
        <v>1579</v>
      </c>
      <c r="I29" s="108"/>
      <c r="J29" s="240"/>
      <c r="K29" s="105"/>
      <c r="L29" s="1136"/>
      <c r="M29" s="202"/>
      <c r="N29" s="66"/>
      <c r="O29" s="66"/>
    </row>
    <row r="30" spans="1:15" s="9" customFormat="1" ht="18.75" hidden="1" customHeight="1">
      <c r="A30" s="2" t="s">
        <v>207</v>
      </c>
      <c r="B30" s="1"/>
      <c r="C30" s="1381"/>
      <c r="D30" s="1170"/>
      <c r="E30" s="1225" t="str">
        <f>INDEX(PT_DIFFERENTIATION_VTAR,MATCH(A30,PT_DIFFERENTIATION_VTAR_ID,0))</f>
        <v>Плата за услуги по поддержанию резервной тепловой мощности при отсутствии потребления тепловой энергии</v>
      </c>
      <c r="F30" s="1225" t="str">
        <f>INDEX(PT_DIFFERENTIATION_VDET,MATCH(A30,PT_DIFFERENTIATION_VTAR_ID,0))</f>
        <v/>
      </c>
      <c r="G30" s="37"/>
      <c r="H30" s="979"/>
      <c r="I30" s="1006"/>
      <c r="J30" s="1005"/>
      <c r="K30" s="788" t="s">
        <v>308</v>
      </c>
      <c r="L30" s="1136"/>
      <c r="M30" s="202"/>
      <c r="N30" s="66"/>
      <c r="O30" s="66"/>
    </row>
    <row r="31" spans="1:15" s="9" customFormat="1" ht="18.75" hidden="1" customHeight="1">
      <c r="A31" s="2"/>
      <c r="B31" s="1" t="s">
        <v>1681</v>
      </c>
      <c r="C31" s="1381"/>
      <c r="D31" s="1170"/>
      <c r="E31" s="1225"/>
      <c r="F31" s="1225"/>
      <c r="G31" s="239"/>
      <c r="H31" s="50" t="s">
        <v>1579</v>
      </c>
      <c r="I31" s="108"/>
      <c r="J31" s="240"/>
      <c r="K31" s="105"/>
      <c r="L31" s="1136"/>
      <c r="M31" s="202"/>
      <c r="N31" s="66"/>
      <c r="O31" s="66"/>
    </row>
    <row r="32" spans="1:15" s="9" customFormat="1" ht="18.75" hidden="1" customHeight="1">
      <c r="A32" s="2" t="s">
        <v>213</v>
      </c>
      <c r="B32" s="1"/>
      <c r="C32" s="1381"/>
      <c r="D32" s="1170"/>
      <c r="E32" s="1225" t="str">
        <f>INDEX(PT_DIFFERENTIATION_VTAR,MATCH(A32,PT_DIFFERENTIATION_VTAR_ID,0))</f>
        <v>Плата за подключение (технологическое присоединение) к системе теплоснабжения</v>
      </c>
      <c r="F32" s="1225" t="str">
        <f>INDEX(PT_DIFFERENTIATION_VDET,MATCH(A32,PT_DIFFERENTIATION_VTAR_ID,0))</f>
        <v/>
      </c>
      <c r="G32" s="37"/>
      <c r="H32" s="979"/>
      <c r="I32" s="1006"/>
      <c r="J32" s="1005"/>
      <c r="K32" s="788" t="s">
        <v>308</v>
      </c>
      <c r="L32" s="1136"/>
      <c r="M32" s="202"/>
      <c r="N32" s="66"/>
      <c r="O32" s="66"/>
    </row>
    <row r="33" spans="1:15" s="9" customFormat="1" ht="18.75" hidden="1" customHeight="1">
      <c r="A33" s="2"/>
      <c r="B33" s="1" t="s">
        <v>1681</v>
      </c>
      <c r="C33" s="1381"/>
      <c r="D33" s="1170"/>
      <c r="E33" s="1225"/>
      <c r="F33" s="1225"/>
      <c r="G33" s="239"/>
      <c r="H33" s="50" t="s">
        <v>1579</v>
      </c>
      <c r="I33" s="108"/>
      <c r="J33" s="240"/>
      <c r="K33" s="105"/>
      <c r="L33" s="1136"/>
      <c r="M33" s="202"/>
      <c r="N33" s="66"/>
      <c r="O33" s="66"/>
    </row>
    <row r="34" spans="1:15" s="9" customFormat="1" ht="18.75" hidden="1" customHeight="1">
      <c r="A34" s="2" t="s">
        <v>227</v>
      </c>
      <c r="B34" s="1"/>
      <c r="C34" s="1381"/>
      <c r="D34" s="1170"/>
      <c r="E34" s="1225" t="str">
        <f>INDEX(PT_DIFFERENTIATION_VTAR,MATCH(A34,PT_DIFFERENTIATION_VTAR_ID,0))</f>
        <v>Тариф на питьевую воду (питьевое водоснабжение)</v>
      </c>
      <c r="F34" s="1225" t="str">
        <f>INDEX(PT_DIFFERENTIATION_VDET,MATCH(A34,PT_DIFFERENTIATION_VTAR_ID,0))</f>
        <v/>
      </c>
      <c r="G34" s="37"/>
      <c r="H34" s="979"/>
      <c r="I34" s="1006"/>
      <c r="J34" s="1005"/>
      <c r="K34" s="788" t="s">
        <v>308</v>
      </c>
      <c r="L34" s="1136"/>
      <c r="M34" s="202"/>
      <c r="N34" s="66"/>
      <c r="O34" s="66"/>
    </row>
    <row r="35" spans="1:15" s="9" customFormat="1" ht="18.75" hidden="1" customHeight="1">
      <c r="A35" s="2"/>
      <c r="B35" s="1" t="s">
        <v>1681</v>
      </c>
      <c r="C35" s="1381"/>
      <c r="D35" s="1170"/>
      <c r="E35" s="1225"/>
      <c r="F35" s="1225"/>
      <c r="G35" s="239"/>
      <c r="H35" s="50" t="s">
        <v>1579</v>
      </c>
      <c r="I35" s="108"/>
      <c r="J35" s="240"/>
      <c r="K35" s="105"/>
      <c r="L35" s="1136"/>
      <c r="M35" s="202"/>
      <c r="N35" s="66"/>
      <c r="O35" s="66"/>
    </row>
    <row r="36" spans="1:15" s="9" customFormat="1" ht="18.75" hidden="1" customHeight="1">
      <c r="A36" s="2" t="s">
        <v>232</v>
      </c>
      <c r="B36" s="1"/>
      <c r="C36" s="1381"/>
      <c r="D36" s="1170"/>
      <c r="E36" s="1225" t="str">
        <f>INDEX(PT_DIFFERENTIATION_VTAR,MATCH(A36,PT_DIFFERENTIATION_VTAR_ID,0))</f>
        <v>Тариф на техническую воду</v>
      </c>
      <c r="F36" s="1225" t="str">
        <f>INDEX(PT_DIFFERENTIATION_VDET,MATCH(A36,PT_DIFFERENTIATION_VTAR_ID,0))</f>
        <v/>
      </c>
      <c r="G36" s="37"/>
      <c r="H36" s="979"/>
      <c r="I36" s="1006"/>
      <c r="J36" s="1005"/>
      <c r="K36" s="788" t="s">
        <v>308</v>
      </c>
      <c r="L36" s="1136"/>
      <c r="M36" s="202"/>
      <c r="N36" s="66"/>
      <c r="O36" s="66"/>
    </row>
    <row r="37" spans="1:15" s="9" customFormat="1" ht="18.75" hidden="1" customHeight="1">
      <c r="A37" s="2"/>
      <c r="B37" s="1" t="s">
        <v>1681</v>
      </c>
      <c r="C37" s="1381"/>
      <c r="D37" s="1170"/>
      <c r="E37" s="1225"/>
      <c r="F37" s="1225"/>
      <c r="G37" s="239"/>
      <c r="H37" s="50" t="s">
        <v>1579</v>
      </c>
      <c r="I37" s="108"/>
      <c r="J37" s="240"/>
      <c r="K37" s="105"/>
      <c r="L37" s="1136"/>
      <c r="M37" s="202"/>
      <c r="N37" s="66"/>
      <c r="O37" s="66"/>
    </row>
    <row r="38" spans="1:15" s="9" customFormat="1" ht="18.75" hidden="1" customHeight="1">
      <c r="A38" s="2" t="s">
        <v>237</v>
      </c>
      <c r="B38" s="1"/>
      <c r="C38" s="1381"/>
      <c r="D38" s="1170"/>
      <c r="E38" s="1225" t="str">
        <f>INDEX(PT_DIFFERENTIATION_VTAR,MATCH(A38,PT_DIFFERENTIATION_VTAR_ID,0))</f>
        <v>Тариф на транспортировку воды</v>
      </c>
      <c r="F38" s="1225" t="str">
        <f>INDEX(PT_DIFFERENTIATION_VDET,MATCH(A38,PT_DIFFERENTIATION_VTAR_ID,0))</f>
        <v/>
      </c>
      <c r="G38" s="37"/>
      <c r="H38" s="979"/>
      <c r="I38" s="1006"/>
      <c r="J38" s="1005"/>
      <c r="K38" s="788" t="s">
        <v>308</v>
      </c>
      <c r="L38" s="1136"/>
      <c r="M38" s="202"/>
      <c r="N38" s="66"/>
      <c r="O38" s="66"/>
    </row>
    <row r="39" spans="1:15" s="9" customFormat="1" ht="18.75" hidden="1" customHeight="1">
      <c r="A39" s="2"/>
      <c r="B39" s="1" t="s">
        <v>1681</v>
      </c>
      <c r="C39" s="1381"/>
      <c r="D39" s="1170"/>
      <c r="E39" s="1225"/>
      <c r="F39" s="1225"/>
      <c r="G39" s="239"/>
      <c r="H39" s="50" t="s">
        <v>1579</v>
      </c>
      <c r="I39" s="108"/>
      <c r="J39" s="240"/>
      <c r="K39" s="105"/>
      <c r="L39" s="1136"/>
      <c r="M39" s="202"/>
      <c r="N39" s="66"/>
      <c r="O39" s="66"/>
    </row>
    <row r="40" spans="1:15" s="9" customFormat="1" ht="18.75" hidden="1" customHeight="1">
      <c r="A40" s="2" t="s">
        <v>242</v>
      </c>
      <c r="B40" s="1"/>
      <c r="C40" s="1381"/>
      <c r="D40" s="1170"/>
      <c r="E40" s="1225" t="str">
        <f>INDEX(PT_DIFFERENTIATION_VTAR,MATCH(A40,PT_DIFFERENTIATION_VTAR_ID,0))</f>
        <v>Тариф на подвоз воды</v>
      </c>
      <c r="F40" s="1225" t="str">
        <f>INDEX(PT_DIFFERENTIATION_VDET,MATCH(A40,PT_DIFFERENTIATION_VTAR_ID,0))</f>
        <v/>
      </c>
      <c r="G40" s="37"/>
      <c r="H40" s="979"/>
      <c r="I40" s="1006"/>
      <c r="J40" s="1005"/>
      <c r="K40" s="788" t="s">
        <v>308</v>
      </c>
      <c r="L40" s="1136"/>
      <c r="M40" s="202"/>
      <c r="N40" s="66"/>
      <c r="O40" s="66"/>
    </row>
    <row r="41" spans="1:15" s="9" customFormat="1" ht="18.75" hidden="1" customHeight="1">
      <c r="A41" s="2"/>
      <c r="B41" s="1" t="s">
        <v>1681</v>
      </c>
      <c r="C41" s="1381"/>
      <c r="D41" s="1170"/>
      <c r="E41" s="1225"/>
      <c r="F41" s="1225"/>
      <c r="G41" s="239"/>
      <c r="H41" s="50" t="s">
        <v>1579</v>
      </c>
      <c r="I41" s="108"/>
      <c r="J41" s="240"/>
      <c r="K41" s="105"/>
      <c r="L41" s="1136"/>
      <c r="M41" s="202"/>
      <c r="N41" s="66"/>
      <c r="O41" s="66"/>
    </row>
    <row r="42" spans="1:15" s="9" customFormat="1" ht="18.75" hidden="1" customHeight="1">
      <c r="A42" s="2" t="s">
        <v>247</v>
      </c>
      <c r="B42" s="1"/>
      <c r="C42" s="1381"/>
      <c r="D42" s="1170"/>
      <c r="E42" s="1225" t="str">
        <f>INDEX(PT_DIFFERENTIATION_VTAR,MATCH(A42,PT_DIFFERENTIATION_VTAR_ID,0))</f>
        <v>Тариф на подключение (технологическое присоединение) к централизованной системе холодного водоснабжения</v>
      </c>
      <c r="F42" s="1225" t="str">
        <f>INDEX(PT_DIFFERENTIATION_VDET,MATCH(A42,PT_DIFFERENTIATION_VTAR_ID,0))</f>
        <v/>
      </c>
      <c r="G42" s="37"/>
      <c r="H42" s="979"/>
      <c r="I42" s="1006"/>
      <c r="J42" s="1005"/>
      <c r="K42" s="788" t="s">
        <v>308</v>
      </c>
      <c r="L42" s="1136"/>
      <c r="M42" s="202"/>
      <c r="N42" s="66"/>
      <c r="O42" s="66"/>
    </row>
    <row r="43" spans="1:15" s="9" customFormat="1" ht="18.75" hidden="1" customHeight="1">
      <c r="A43" s="2"/>
      <c r="B43" s="1" t="s">
        <v>1681</v>
      </c>
      <c r="C43" s="1381"/>
      <c r="D43" s="1170"/>
      <c r="E43" s="1225"/>
      <c r="F43" s="1225"/>
      <c r="G43" s="239"/>
      <c r="H43" s="50" t="s">
        <v>1579</v>
      </c>
      <c r="I43" s="108"/>
      <c r="J43" s="240"/>
      <c r="K43" s="105"/>
      <c r="L43" s="1136"/>
      <c r="M43" s="202"/>
      <c r="N43" s="66"/>
      <c r="O43" s="66"/>
    </row>
    <row r="44" spans="1:15" s="9" customFormat="1" ht="18.75" hidden="1" customHeight="1">
      <c r="A44" s="2" t="s">
        <v>252</v>
      </c>
      <c r="B44" s="1"/>
      <c r="C44" s="1381"/>
      <c r="D44" s="1170"/>
      <c r="E44" s="1225" t="str">
        <f>INDEX(PT_DIFFERENTIATION_VTAR,MATCH(A44,PT_DIFFERENTIATION_VTAR_ID,0))</f>
        <v>Тариф на горячую воду (горячее водоснабжение)</v>
      </c>
      <c r="F44" s="1225" t="str">
        <f>INDEX(PT_DIFFERENTIATION_VDET,MATCH(A44,PT_DIFFERENTIATION_VTAR_ID,0))</f>
        <v/>
      </c>
      <c r="G44" s="37"/>
      <c r="H44" s="979"/>
      <c r="I44" s="1006"/>
      <c r="J44" s="1005"/>
      <c r="K44" s="788" t="s">
        <v>308</v>
      </c>
      <c r="L44" s="1136"/>
      <c r="M44" s="202"/>
      <c r="N44" s="66"/>
      <c r="O44" s="66"/>
    </row>
    <row r="45" spans="1:15" s="9" customFormat="1" ht="18.75" hidden="1" customHeight="1">
      <c r="A45" s="2"/>
      <c r="B45" s="1" t="s">
        <v>1681</v>
      </c>
      <c r="C45" s="1381"/>
      <c r="D45" s="1170"/>
      <c r="E45" s="1225"/>
      <c r="F45" s="1225"/>
      <c r="G45" s="239"/>
      <c r="H45" s="50" t="s">
        <v>1579</v>
      </c>
      <c r="I45" s="108"/>
      <c r="J45" s="240"/>
      <c r="K45" s="105"/>
      <c r="L45" s="1136"/>
      <c r="M45" s="202"/>
      <c r="N45" s="66"/>
      <c r="O45" s="66"/>
    </row>
    <row r="46" spans="1:15" s="9" customFormat="1" ht="18.75" hidden="1" customHeight="1">
      <c r="A46" s="2" t="s">
        <v>257</v>
      </c>
      <c r="B46" s="1"/>
      <c r="C46" s="1381"/>
      <c r="D46" s="1170"/>
      <c r="E46" s="1225" t="str">
        <f>INDEX(PT_DIFFERENTIATION_VTAR,MATCH(A46,PT_DIFFERENTIATION_VTAR_ID,0))</f>
        <v>Тариф на транспортировку горячей воды</v>
      </c>
      <c r="F46" s="1225" t="str">
        <f>INDEX(PT_DIFFERENTIATION_VDET,MATCH(A46,PT_DIFFERENTIATION_VTAR_ID,0))</f>
        <v/>
      </c>
      <c r="G46" s="37"/>
      <c r="H46" s="979"/>
      <c r="I46" s="1006"/>
      <c r="J46" s="1005"/>
      <c r="K46" s="788" t="s">
        <v>308</v>
      </c>
      <c r="L46" s="1136"/>
      <c r="M46" s="202"/>
      <c r="N46" s="66"/>
      <c r="O46" s="66"/>
    </row>
    <row r="47" spans="1:15" s="9" customFormat="1" ht="18.75" hidden="1" customHeight="1">
      <c r="A47" s="2"/>
      <c r="B47" s="1" t="s">
        <v>1681</v>
      </c>
      <c r="C47" s="1381"/>
      <c r="D47" s="1170"/>
      <c r="E47" s="1225"/>
      <c r="F47" s="1225"/>
      <c r="G47" s="239"/>
      <c r="H47" s="50" t="s">
        <v>1579</v>
      </c>
      <c r="I47" s="108"/>
      <c r="J47" s="240"/>
      <c r="K47" s="105"/>
      <c r="L47" s="1136"/>
      <c r="M47" s="202"/>
      <c r="N47" s="66"/>
      <c r="O47" s="66"/>
    </row>
    <row r="48" spans="1:15" s="9" customFormat="1" ht="18.75" hidden="1" customHeight="1">
      <c r="A48" s="2" t="s">
        <v>262</v>
      </c>
      <c r="B48" s="1"/>
      <c r="C48" s="1381"/>
      <c r="D48" s="1170"/>
      <c r="E48" s="1225" t="str">
        <f>INDEX(PT_DIFFERENTIATION_VTAR,MATCH(A48,PT_DIFFERENTIATION_VTAR_ID,0))</f>
        <v>Тариф на подключение (технологическое присоединение) к централизованной системе горячего водоснабжения</v>
      </c>
      <c r="F48" s="1225" t="str">
        <f>INDEX(PT_DIFFERENTIATION_VDET,MATCH(A48,PT_DIFFERENTIATION_VTAR_ID,0))</f>
        <v/>
      </c>
      <c r="G48" s="37"/>
      <c r="H48" s="979"/>
      <c r="I48" s="1006"/>
      <c r="J48" s="1005"/>
      <c r="K48" s="788" t="s">
        <v>308</v>
      </c>
      <c r="L48" s="1136"/>
      <c r="M48" s="202"/>
      <c r="N48" s="66"/>
      <c r="O48" s="66"/>
    </row>
    <row r="49" spans="1:15" s="9" customFormat="1" ht="18.75" hidden="1" customHeight="1">
      <c r="A49" s="2"/>
      <c r="B49" s="1" t="s">
        <v>1681</v>
      </c>
      <c r="C49" s="1381"/>
      <c r="D49" s="1170"/>
      <c r="E49" s="1225"/>
      <c r="F49" s="1225"/>
      <c r="G49" s="239"/>
      <c r="H49" s="50" t="s">
        <v>1579</v>
      </c>
      <c r="I49" s="108"/>
      <c r="J49" s="240"/>
      <c r="K49" s="105"/>
      <c r="L49" s="1136"/>
      <c r="M49" s="202"/>
      <c r="N49" s="66"/>
      <c r="O49" s="66"/>
    </row>
    <row r="50" spans="1:15" s="9" customFormat="1" ht="18.75" hidden="1" customHeight="1">
      <c r="A50" s="2" t="s">
        <v>267</v>
      </c>
      <c r="B50" s="1"/>
      <c r="C50" s="1381"/>
      <c r="D50" s="1170"/>
      <c r="E50" s="1225" t="str">
        <f>INDEX(PT_DIFFERENTIATION_VTAR,MATCH(A50,PT_DIFFERENTIATION_VTAR_ID,0))</f>
        <v>Тариф на водоотведение</v>
      </c>
      <c r="F50" s="1225" t="str">
        <f>INDEX(PT_DIFFERENTIATION_VDET,MATCH(A50,PT_DIFFERENTIATION_VTAR_ID,0))</f>
        <v/>
      </c>
      <c r="G50" s="37"/>
      <c r="H50" s="979"/>
      <c r="I50" s="1006"/>
      <c r="J50" s="1005"/>
      <c r="K50" s="788" t="s">
        <v>308</v>
      </c>
      <c r="L50" s="1136"/>
      <c r="M50" s="202"/>
      <c r="N50" s="66"/>
      <c r="O50" s="66"/>
    </row>
    <row r="51" spans="1:15" s="9" customFormat="1" ht="18.75" hidden="1" customHeight="1">
      <c r="A51" s="2"/>
      <c r="B51" s="1" t="s">
        <v>1681</v>
      </c>
      <c r="C51" s="1381"/>
      <c r="D51" s="1170"/>
      <c r="E51" s="1225"/>
      <c r="F51" s="1225"/>
      <c r="G51" s="239"/>
      <c r="H51" s="50" t="s">
        <v>1579</v>
      </c>
      <c r="I51" s="108"/>
      <c r="J51" s="240"/>
      <c r="K51" s="105"/>
      <c r="L51" s="1136"/>
      <c r="M51" s="202"/>
      <c r="N51" s="66"/>
      <c r="O51" s="66"/>
    </row>
    <row r="52" spans="1:15" s="9" customFormat="1" ht="18.75" hidden="1" customHeight="1">
      <c r="A52" s="2" t="s">
        <v>272</v>
      </c>
      <c r="B52" s="1"/>
      <c r="C52" s="1381"/>
      <c r="D52" s="1170"/>
      <c r="E52" s="1225" t="str">
        <f>INDEX(PT_DIFFERENTIATION_VTAR,MATCH(A52,PT_DIFFERENTIATION_VTAR_ID,0))</f>
        <v>Тариф на транспортировку сточных вод</v>
      </c>
      <c r="F52" s="1225" t="str">
        <f>INDEX(PT_DIFFERENTIATION_VDET,MATCH(A52,PT_DIFFERENTIATION_VTAR_ID,0))</f>
        <v/>
      </c>
      <c r="G52" s="37"/>
      <c r="H52" s="979"/>
      <c r="I52" s="1006"/>
      <c r="J52" s="1005"/>
      <c r="K52" s="788" t="s">
        <v>308</v>
      </c>
      <c r="L52" s="1136"/>
      <c r="M52" s="202"/>
      <c r="N52" s="66"/>
      <c r="O52" s="66"/>
    </row>
    <row r="53" spans="1:15" s="9" customFormat="1" ht="18.75" hidden="1" customHeight="1">
      <c r="A53" s="2"/>
      <c r="B53" s="1" t="s">
        <v>1681</v>
      </c>
      <c r="C53" s="1381"/>
      <c r="D53" s="1170"/>
      <c r="E53" s="1225"/>
      <c r="F53" s="1225"/>
      <c r="G53" s="239"/>
      <c r="H53" s="50" t="s">
        <v>1579</v>
      </c>
      <c r="I53" s="108"/>
      <c r="J53" s="240"/>
      <c r="K53" s="105"/>
      <c r="L53" s="1136"/>
      <c r="M53" s="202"/>
      <c r="N53" s="66"/>
      <c r="O53" s="66"/>
    </row>
    <row r="54" spans="1:15" s="9" customFormat="1" ht="18.75" hidden="1" customHeight="1">
      <c r="A54" s="2" t="s">
        <v>277</v>
      </c>
      <c r="B54" s="1"/>
      <c r="C54" s="1381"/>
      <c r="D54" s="1170"/>
      <c r="E54" s="1225" t="str">
        <f>INDEX(PT_DIFFERENTIATION_VTAR,MATCH(A54,PT_DIFFERENTIATION_VTAR_ID,0))</f>
        <v>Тариф на подключение (технологическое присоединение) к централизованной системе водоотведения</v>
      </c>
      <c r="F54" s="1225" t="str">
        <f>INDEX(PT_DIFFERENTIATION_VDET,MATCH(A54,PT_DIFFERENTIATION_VTAR_ID,0))</f>
        <v/>
      </c>
      <c r="G54" s="37"/>
      <c r="H54" s="979"/>
      <c r="I54" s="1006"/>
      <c r="J54" s="1005"/>
      <c r="K54" s="788" t="s">
        <v>308</v>
      </c>
      <c r="L54" s="1136"/>
      <c r="M54" s="202"/>
      <c r="N54" s="66"/>
      <c r="O54" s="66"/>
    </row>
    <row r="55" spans="1:15" s="9" customFormat="1" ht="18.75" hidden="1" customHeight="1">
      <c r="A55" s="2"/>
      <c r="B55" s="1" t="s">
        <v>1681</v>
      </c>
      <c r="C55" s="1381"/>
      <c r="D55" s="1170"/>
      <c r="E55" s="1225"/>
      <c r="F55" s="1225"/>
      <c r="G55" s="239"/>
      <c r="H55" s="50" t="s">
        <v>1579</v>
      </c>
      <c r="I55" s="108"/>
      <c r="J55" s="240"/>
      <c r="K55" s="105"/>
      <c r="L55" s="1136"/>
      <c r="M55" s="202"/>
      <c r="N55" s="66"/>
      <c r="O55" s="66"/>
    </row>
    <row r="56" spans="1:15" ht="18.75" customHeight="1">
      <c r="A56" s="2"/>
      <c r="C56" s="27"/>
      <c r="D56" s="61" t="s">
        <v>103</v>
      </c>
      <c r="E56" s="137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1371"/>
      <c r="G56" s="1371"/>
      <c r="H56" s="1371"/>
      <c r="I56" s="1371"/>
      <c r="J56" s="1371"/>
      <c r="K56" s="1371"/>
      <c r="L56" s="111"/>
      <c r="M56" s="202"/>
    </row>
    <row r="57" spans="1:15" ht="33.75" customHeight="1">
      <c r="A57" s="2"/>
      <c r="C57" s="27"/>
      <c r="D57" s="238"/>
      <c r="E57" s="37" t="s">
        <v>308</v>
      </c>
      <c r="F57" s="37" t="s">
        <v>308</v>
      </c>
      <c r="G57" s="1182" t="s">
        <v>308</v>
      </c>
      <c r="H57" s="1195"/>
      <c r="I57" s="37" t="s">
        <v>308</v>
      </c>
      <c r="J57" s="37" t="s">
        <v>308</v>
      </c>
      <c r="K57" s="241"/>
      <c r="L57" s="64" t="s">
        <v>1682</v>
      </c>
      <c r="M57" s="202"/>
    </row>
    <row r="58" spans="1:15" ht="18.75" customHeight="1">
      <c r="A58" s="2"/>
      <c r="C58" s="27"/>
      <c r="D58" s="61" t="s">
        <v>90</v>
      </c>
      <c r="E58" s="1371" t="s">
        <v>1683</v>
      </c>
      <c r="F58" s="1371"/>
      <c r="G58" s="1371"/>
      <c r="H58" s="1371"/>
      <c r="I58" s="1371"/>
      <c r="J58" s="1371"/>
      <c r="K58" s="1371"/>
      <c r="L58" s="111"/>
      <c r="M58" s="202"/>
    </row>
    <row r="59" spans="1:15" s="9" customFormat="1" ht="56.25" hidden="1" customHeight="1">
      <c r="A59" s="2" t="s">
        <v>171</v>
      </c>
      <c r="B59" s="1"/>
      <c r="C59" s="1381"/>
      <c r="D59" s="1170"/>
      <c r="E59" s="122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1225" t="str">
        <f>INDEX(PT_DIFFERENTIATION_VDET,MATCH(A59,PT_DIFFERENTIATION_VTAR_ID,0))</f>
        <v/>
      </c>
      <c r="G59" s="37"/>
      <c r="H59" s="979"/>
      <c r="I59" s="1006"/>
      <c r="J59" s="227"/>
      <c r="K59" s="788" t="s">
        <v>308</v>
      </c>
      <c r="L59" s="11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02"/>
      <c r="N59" s="66"/>
      <c r="O59" s="66"/>
    </row>
    <row r="60" spans="1:15" s="9" customFormat="1" ht="18.75" hidden="1" customHeight="1">
      <c r="A60" s="2"/>
      <c r="B60" s="1" t="s">
        <v>1684</v>
      </c>
      <c r="C60" s="1381"/>
      <c r="D60" s="1170"/>
      <c r="E60" s="1225"/>
      <c r="F60" s="1225"/>
      <c r="G60" s="239"/>
      <c r="H60" s="50" t="s">
        <v>1579</v>
      </c>
      <c r="I60" s="108"/>
      <c r="J60" s="240"/>
      <c r="K60" s="105"/>
      <c r="L60" s="1136"/>
      <c r="M60" s="202"/>
      <c r="N60" s="66"/>
      <c r="O60" s="66"/>
    </row>
    <row r="61" spans="1:15" s="9" customFormat="1" ht="26.25" hidden="1" customHeight="1">
      <c r="A61" s="2" t="s">
        <v>177</v>
      </c>
      <c r="B61" s="1"/>
      <c r="C61" s="1381"/>
      <c r="D61" s="1170"/>
      <c r="E61" s="122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1225" t="str">
        <f>INDEX(PT_DIFFERENTIATION_VDET,MATCH(A61,PT_DIFFERENTIATION_VTAR_ID,0))</f>
        <v/>
      </c>
      <c r="G61" s="37"/>
      <c r="H61" s="979"/>
      <c r="I61" s="1006"/>
      <c r="J61" s="227"/>
      <c r="K61" s="788" t="s">
        <v>308</v>
      </c>
      <c r="L61" s="1137"/>
      <c r="M61" s="202"/>
      <c r="N61" s="66"/>
      <c r="O61" s="66"/>
    </row>
    <row r="62" spans="1:15" s="9" customFormat="1" ht="18.75" hidden="1" customHeight="1">
      <c r="A62" s="2"/>
      <c r="B62" s="1" t="s">
        <v>1684</v>
      </c>
      <c r="C62" s="1381"/>
      <c r="D62" s="1170"/>
      <c r="E62" s="1225"/>
      <c r="F62" s="1225"/>
      <c r="G62" s="239"/>
      <c r="H62" s="50" t="s">
        <v>1579</v>
      </c>
      <c r="I62" s="108"/>
      <c r="J62" s="240"/>
      <c r="K62" s="105"/>
      <c r="L62" s="207"/>
      <c r="M62" s="202"/>
      <c r="N62" s="66"/>
      <c r="O62" s="66"/>
    </row>
    <row r="63" spans="1:15" s="9" customFormat="1" ht="18.75" hidden="1" customHeight="1">
      <c r="A63" s="2" t="s">
        <v>183</v>
      </c>
      <c r="B63" s="1"/>
      <c r="C63" s="1381"/>
      <c r="D63" s="1170"/>
      <c r="E63" s="122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1225" t="str">
        <f>INDEX(PT_DIFFERENTIATION_VDET,MATCH(A63,PT_DIFFERENTIATION_VTAR_ID,0))</f>
        <v/>
      </c>
      <c r="G63" s="37"/>
      <c r="H63" s="979"/>
      <c r="I63" s="1006"/>
      <c r="J63" s="227"/>
      <c r="K63" s="788" t="s">
        <v>308</v>
      </c>
      <c r="L63" s="207"/>
      <c r="M63" s="202"/>
      <c r="N63" s="66"/>
      <c r="O63" s="66"/>
    </row>
    <row r="64" spans="1:15" s="9" customFormat="1" ht="18.75" hidden="1" customHeight="1">
      <c r="A64" s="2"/>
      <c r="B64" s="1" t="s">
        <v>1684</v>
      </c>
      <c r="C64" s="1381"/>
      <c r="D64" s="1170"/>
      <c r="E64" s="1225"/>
      <c r="F64" s="1225"/>
      <c r="G64" s="239"/>
      <c r="H64" s="50" t="s">
        <v>1579</v>
      </c>
      <c r="I64" s="108"/>
      <c r="J64" s="240"/>
      <c r="K64" s="105"/>
      <c r="L64" s="207"/>
      <c r="M64" s="202"/>
      <c r="N64" s="66"/>
      <c r="O64" s="66"/>
    </row>
    <row r="65" spans="1:15" s="9" customFormat="1" ht="41.25" hidden="1" customHeight="1">
      <c r="A65" s="2" t="s">
        <v>189</v>
      </c>
      <c r="B65" s="1"/>
      <c r="C65" s="1381"/>
      <c r="D65" s="1170"/>
      <c r="E65" s="122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1225" t="str">
        <f>INDEX(PT_DIFFERENTIATION_VDET,MATCH(A65,PT_DIFFERENTIATION_VTAR_ID,0))</f>
        <v/>
      </c>
      <c r="G65" s="37"/>
      <c r="H65" s="979"/>
      <c r="I65" s="1006"/>
      <c r="J65" s="227"/>
      <c r="K65" s="788" t="s">
        <v>308</v>
      </c>
      <c r="L65" s="207"/>
      <c r="M65" s="202"/>
      <c r="N65" s="66"/>
      <c r="O65" s="66"/>
    </row>
    <row r="66" spans="1:15" s="9" customFormat="1" ht="18.75" hidden="1" customHeight="1">
      <c r="A66" s="2"/>
      <c r="B66" s="1" t="s">
        <v>1684</v>
      </c>
      <c r="C66" s="1381"/>
      <c r="D66" s="1170"/>
      <c r="E66" s="1225"/>
      <c r="F66" s="1225"/>
      <c r="G66" s="239"/>
      <c r="H66" s="50" t="s">
        <v>1579</v>
      </c>
      <c r="I66" s="108"/>
      <c r="J66" s="240"/>
      <c r="K66" s="105"/>
      <c r="L66" s="207"/>
      <c r="M66" s="202"/>
      <c r="N66" s="66"/>
      <c r="O66" s="66"/>
    </row>
    <row r="67" spans="1:15" s="9" customFormat="1" ht="18.75" hidden="1" customHeight="1">
      <c r="A67" s="2" t="s">
        <v>195</v>
      </c>
      <c r="B67" s="1"/>
      <c r="C67" s="1381"/>
      <c r="D67" s="1170"/>
      <c r="E67" s="1225" t="str">
        <f>INDEX(PT_DIFFERENTIATION_VTAR,MATCH(A67,PT_DIFFERENTIATION_VTAR_ID,0))</f>
        <v>Тарифы на услуги по передаче тепловой энергии</v>
      </c>
      <c r="F67" s="1225" t="str">
        <f>INDEX(PT_DIFFERENTIATION_VDET,MATCH(A67,PT_DIFFERENTIATION_VTAR_ID,0))</f>
        <v/>
      </c>
      <c r="G67" s="37"/>
      <c r="H67" s="979"/>
      <c r="I67" s="1006"/>
      <c r="J67" s="227"/>
      <c r="K67" s="788" t="s">
        <v>308</v>
      </c>
      <c r="L67" s="207"/>
      <c r="M67" s="202"/>
      <c r="N67" s="66"/>
      <c r="O67" s="66"/>
    </row>
    <row r="68" spans="1:15" s="9" customFormat="1" ht="18.75" hidden="1" customHeight="1">
      <c r="A68" s="2"/>
      <c r="B68" s="1" t="s">
        <v>1684</v>
      </c>
      <c r="C68" s="1381"/>
      <c r="D68" s="1170"/>
      <c r="E68" s="1225"/>
      <c r="F68" s="1225"/>
      <c r="G68" s="239"/>
      <c r="H68" s="50" t="s">
        <v>1579</v>
      </c>
      <c r="I68" s="108"/>
      <c r="J68" s="240"/>
      <c r="K68" s="105"/>
      <c r="L68" s="207"/>
      <c r="M68" s="202"/>
      <c r="N68" s="66"/>
      <c r="O68" s="66"/>
    </row>
    <row r="69" spans="1:15" s="9" customFormat="1" ht="18.75" hidden="1" customHeight="1">
      <c r="A69" s="2" t="s">
        <v>201</v>
      </c>
      <c r="B69" s="1"/>
      <c r="C69" s="1381"/>
      <c r="D69" s="1170"/>
      <c r="E69" s="1225" t="str">
        <f>INDEX(PT_DIFFERENTIATION_VTAR,MATCH(A69,PT_DIFFERENTIATION_VTAR_ID,0))</f>
        <v>Тарифы на услуги по передаче теплоносителя</v>
      </c>
      <c r="F69" s="1225" t="str">
        <f>INDEX(PT_DIFFERENTIATION_VDET,MATCH(A69,PT_DIFFERENTIATION_VTAR_ID,0))</f>
        <v/>
      </c>
      <c r="G69" s="37"/>
      <c r="H69" s="979"/>
      <c r="I69" s="1006"/>
      <c r="J69" s="227"/>
      <c r="K69" s="788" t="s">
        <v>308</v>
      </c>
      <c r="L69" s="207"/>
      <c r="M69" s="202"/>
      <c r="N69" s="66"/>
      <c r="O69" s="66"/>
    </row>
    <row r="70" spans="1:15" s="9" customFormat="1" ht="18.75" hidden="1" customHeight="1">
      <c r="A70" s="2"/>
      <c r="B70" s="1" t="s">
        <v>1684</v>
      </c>
      <c r="C70" s="1381"/>
      <c r="D70" s="1170"/>
      <c r="E70" s="1225"/>
      <c r="F70" s="1225"/>
      <c r="G70" s="239"/>
      <c r="H70" s="50" t="s">
        <v>1579</v>
      </c>
      <c r="I70" s="108"/>
      <c r="J70" s="240"/>
      <c r="K70" s="105"/>
      <c r="L70" s="207"/>
      <c r="M70" s="202"/>
      <c r="N70" s="66"/>
      <c r="O70" s="66"/>
    </row>
    <row r="71" spans="1:15" s="9" customFormat="1" ht="18.75" hidden="1" customHeight="1">
      <c r="A71" s="2" t="s">
        <v>207</v>
      </c>
      <c r="B71" s="1"/>
      <c r="C71" s="1381"/>
      <c r="D71" s="1170"/>
      <c r="E71" s="1225" t="str">
        <f>INDEX(PT_DIFFERENTIATION_VTAR,MATCH(A71,PT_DIFFERENTIATION_VTAR_ID,0))</f>
        <v>Плата за услуги по поддержанию резервной тепловой мощности при отсутствии потребления тепловой энергии</v>
      </c>
      <c r="F71" s="1225" t="str">
        <f>INDEX(PT_DIFFERENTIATION_VDET,MATCH(A71,PT_DIFFERENTIATION_VTAR_ID,0))</f>
        <v/>
      </c>
      <c r="G71" s="37"/>
      <c r="H71" s="979"/>
      <c r="I71" s="1006"/>
      <c r="J71" s="227"/>
      <c r="K71" s="788" t="s">
        <v>308</v>
      </c>
      <c r="L71" s="207"/>
      <c r="M71" s="202"/>
      <c r="N71" s="66"/>
      <c r="O71" s="66"/>
    </row>
    <row r="72" spans="1:15" s="9" customFormat="1" ht="18.75" hidden="1" customHeight="1">
      <c r="A72" s="2"/>
      <c r="B72" s="1" t="s">
        <v>1684</v>
      </c>
      <c r="C72" s="1381"/>
      <c r="D72" s="1170"/>
      <c r="E72" s="1225"/>
      <c r="F72" s="1225"/>
      <c r="G72" s="239"/>
      <c r="H72" s="50" t="s">
        <v>1579</v>
      </c>
      <c r="I72" s="108"/>
      <c r="J72" s="240"/>
      <c r="K72" s="105"/>
      <c r="L72" s="207"/>
      <c r="M72" s="202"/>
      <c r="N72" s="66"/>
      <c r="O72" s="66"/>
    </row>
    <row r="73" spans="1:15" s="9" customFormat="1" ht="18.75" hidden="1" customHeight="1">
      <c r="A73" s="2" t="s">
        <v>213</v>
      </c>
      <c r="B73" s="1"/>
      <c r="C73" s="1381"/>
      <c r="D73" s="1170"/>
      <c r="E73" s="1225" t="str">
        <f>INDEX(PT_DIFFERENTIATION_VTAR,MATCH(A73,PT_DIFFERENTIATION_VTAR_ID,0))</f>
        <v>Плата за подключение (технологическое присоединение) к системе теплоснабжения</v>
      </c>
      <c r="F73" s="1225" t="str">
        <f>INDEX(PT_DIFFERENTIATION_VDET,MATCH(A73,PT_DIFFERENTIATION_VTAR_ID,0))</f>
        <v/>
      </c>
      <c r="G73" s="37"/>
      <c r="H73" s="979"/>
      <c r="I73" s="1006"/>
      <c r="J73" s="227"/>
      <c r="K73" s="788" t="s">
        <v>308</v>
      </c>
      <c r="L73" s="207"/>
      <c r="M73" s="202"/>
      <c r="N73" s="66"/>
      <c r="O73" s="66"/>
    </row>
    <row r="74" spans="1:15" s="9" customFormat="1" ht="18.75" hidden="1" customHeight="1">
      <c r="A74" s="2"/>
      <c r="B74" s="1" t="s">
        <v>1684</v>
      </c>
      <c r="C74" s="1381"/>
      <c r="D74" s="1170"/>
      <c r="E74" s="1225"/>
      <c r="F74" s="1225"/>
      <c r="G74" s="239"/>
      <c r="H74" s="50" t="s">
        <v>1579</v>
      </c>
      <c r="I74" s="108"/>
      <c r="J74" s="240"/>
      <c r="K74" s="105"/>
      <c r="L74" s="207"/>
      <c r="M74" s="202"/>
      <c r="N74" s="66"/>
      <c r="O74" s="66"/>
    </row>
    <row r="75" spans="1:15" s="9" customFormat="1" ht="18.75" hidden="1" customHeight="1">
      <c r="A75" s="2" t="s">
        <v>227</v>
      </c>
      <c r="B75" s="1"/>
      <c r="C75" s="1381"/>
      <c r="D75" s="1170"/>
      <c r="E75" s="1225" t="str">
        <f>INDEX(PT_DIFFERENTIATION_VTAR,MATCH(A75,PT_DIFFERENTIATION_VTAR_ID,0))</f>
        <v>Тариф на питьевую воду (питьевое водоснабжение)</v>
      </c>
      <c r="F75" s="1225" t="str">
        <f>INDEX(PT_DIFFERENTIATION_VDET,MATCH(A75,PT_DIFFERENTIATION_VTAR_ID,0))</f>
        <v/>
      </c>
      <c r="G75" s="37"/>
      <c r="H75" s="979"/>
      <c r="I75" s="1006"/>
      <c r="J75" s="227"/>
      <c r="K75" s="788" t="s">
        <v>308</v>
      </c>
      <c r="L75" s="207"/>
      <c r="M75" s="202"/>
      <c r="N75" s="66"/>
      <c r="O75" s="66"/>
    </row>
    <row r="76" spans="1:15" s="9" customFormat="1" ht="18.75" hidden="1" customHeight="1">
      <c r="A76" s="2"/>
      <c r="B76" s="1" t="s">
        <v>1684</v>
      </c>
      <c r="C76" s="1381"/>
      <c r="D76" s="1170"/>
      <c r="E76" s="1225"/>
      <c r="F76" s="1225"/>
      <c r="G76" s="239"/>
      <c r="H76" s="50" t="s">
        <v>1579</v>
      </c>
      <c r="I76" s="108"/>
      <c r="J76" s="240"/>
      <c r="K76" s="105"/>
      <c r="L76" s="207"/>
      <c r="M76" s="202"/>
      <c r="N76" s="66"/>
      <c r="O76" s="66"/>
    </row>
    <row r="77" spans="1:15" s="9" customFormat="1" ht="18.75" hidden="1" customHeight="1">
      <c r="A77" s="2" t="s">
        <v>232</v>
      </c>
      <c r="B77" s="1"/>
      <c r="C77" s="1381"/>
      <c r="D77" s="1170"/>
      <c r="E77" s="1225" t="str">
        <f>INDEX(PT_DIFFERENTIATION_VTAR,MATCH(A77,PT_DIFFERENTIATION_VTAR_ID,0))</f>
        <v>Тариф на техническую воду</v>
      </c>
      <c r="F77" s="1225" t="str">
        <f>INDEX(PT_DIFFERENTIATION_VDET,MATCH(A77,PT_DIFFERENTIATION_VTAR_ID,0))</f>
        <v/>
      </c>
      <c r="G77" s="37"/>
      <c r="H77" s="979"/>
      <c r="I77" s="1006"/>
      <c r="J77" s="227"/>
      <c r="K77" s="788" t="s">
        <v>308</v>
      </c>
      <c r="L77" s="207"/>
      <c r="M77" s="202"/>
      <c r="N77" s="66"/>
      <c r="O77" s="66"/>
    </row>
    <row r="78" spans="1:15" s="9" customFormat="1" ht="18.75" hidden="1" customHeight="1">
      <c r="A78" s="2"/>
      <c r="B78" s="1" t="s">
        <v>1684</v>
      </c>
      <c r="C78" s="1381"/>
      <c r="D78" s="1170"/>
      <c r="E78" s="1225"/>
      <c r="F78" s="1225"/>
      <c r="G78" s="239"/>
      <c r="H78" s="50" t="s">
        <v>1579</v>
      </c>
      <c r="I78" s="108"/>
      <c r="J78" s="240"/>
      <c r="K78" s="105"/>
      <c r="L78" s="207"/>
      <c r="M78" s="202"/>
      <c r="N78" s="66"/>
      <c r="O78" s="66"/>
    </row>
    <row r="79" spans="1:15" s="9" customFormat="1" ht="18.75" hidden="1" customHeight="1">
      <c r="A79" s="2" t="s">
        <v>237</v>
      </c>
      <c r="B79" s="1"/>
      <c r="C79" s="1381"/>
      <c r="D79" s="1170"/>
      <c r="E79" s="1225" t="str">
        <f>INDEX(PT_DIFFERENTIATION_VTAR,MATCH(A79,PT_DIFFERENTIATION_VTAR_ID,0))</f>
        <v>Тариф на транспортировку воды</v>
      </c>
      <c r="F79" s="1225" t="str">
        <f>INDEX(PT_DIFFERENTIATION_VDET,MATCH(A79,PT_DIFFERENTIATION_VTAR_ID,0))</f>
        <v/>
      </c>
      <c r="G79" s="37"/>
      <c r="H79" s="979"/>
      <c r="I79" s="1006"/>
      <c r="J79" s="227"/>
      <c r="K79" s="788" t="s">
        <v>308</v>
      </c>
      <c r="L79" s="207"/>
      <c r="M79" s="202"/>
      <c r="N79" s="66"/>
      <c r="O79" s="66"/>
    </row>
    <row r="80" spans="1:15" s="9" customFormat="1" ht="18.75" hidden="1" customHeight="1">
      <c r="A80" s="2"/>
      <c r="B80" s="1" t="s">
        <v>1684</v>
      </c>
      <c r="C80" s="1381"/>
      <c r="D80" s="1170"/>
      <c r="E80" s="1225"/>
      <c r="F80" s="1225"/>
      <c r="G80" s="239"/>
      <c r="H80" s="50" t="s">
        <v>1579</v>
      </c>
      <c r="I80" s="108"/>
      <c r="J80" s="240"/>
      <c r="K80" s="105"/>
      <c r="L80" s="207"/>
      <c r="M80" s="202"/>
      <c r="N80" s="66"/>
      <c r="O80" s="66"/>
    </row>
    <row r="81" spans="1:15" s="9" customFormat="1" ht="18.75" hidden="1" customHeight="1">
      <c r="A81" s="2" t="s">
        <v>242</v>
      </c>
      <c r="B81" s="1"/>
      <c r="C81" s="1381"/>
      <c r="D81" s="1170"/>
      <c r="E81" s="1225" t="str">
        <f>INDEX(PT_DIFFERENTIATION_VTAR,MATCH(A81,PT_DIFFERENTIATION_VTAR_ID,0))</f>
        <v>Тариф на подвоз воды</v>
      </c>
      <c r="F81" s="1225" t="str">
        <f>INDEX(PT_DIFFERENTIATION_VDET,MATCH(A81,PT_DIFFERENTIATION_VTAR_ID,0))</f>
        <v/>
      </c>
      <c r="G81" s="37"/>
      <c r="H81" s="979"/>
      <c r="I81" s="1006"/>
      <c r="J81" s="227"/>
      <c r="K81" s="788" t="s">
        <v>308</v>
      </c>
      <c r="L81" s="207"/>
      <c r="M81" s="202"/>
      <c r="N81" s="66"/>
      <c r="O81" s="66"/>
    </row>
    <row r="82" spans="1:15" s="9" customFormat="1" ht="18.75" hidden="1" customHeight="1">
      <c r="A82" s="2"/>
      <c r="B82" s="1" t="s">
        <v>1684</v>
      </c>
      <c r="C82" s="1381"/>
      <c r="D82" s="1170"/>
      <c r="E82" s="1225"/>
      <c r="F82" s="1225"/>
      <c r="G82" s="239"/>
      <c r="H82" s="50" t="s">
        <v>1579</v>
      </c>
      <c r="I82" s="108"/>
      <c r="J82" s="240"/>
      <c r="K82" s="105"/>
      <c r="L82" s="207"/>
      <c r="M82" s="202"/>
      <c r="N82" s="66"/>
      <c r="O82" s="66"/>
    </row>
    <row r="83" spans="1:15" s="9" customFormat="1" ht="18.75" hidden="1" customHeight="1">
      <c r="A83" s="2" t="s">
        <v>247</v>
      </c>
      <c r="B83" s="1"/>
      <c r="C83" s="1381"/>
      <c r="D83" s="1170"/>
      <c r="E83" s="1225" t="str">
        <f>INDEX(PT_DIFFERENTIATION_VTAR,MATCH(A83,PT_DIFFERENTIATION_VTAR_ID,0))</f>
        <v>Тариф на подключение (технологическое присоединение) к централизованной системе холодного водоснабжения</v>
      </c>
      <c r="F83" s="1225" t="str">
        <f>INDEX(PT_DIFFERENTIATION_VDET,MATCH(A83,PT_DIFFERENTIATION_VTAR_ID,0))</f>
        <v/>
      </c>
      <c r="G83" s="37"/>
      <c r="H83" s="979"/>
      <c r="I83" s="1006"/>
      <c r="J83" s="227"/>
      <c r="K83" s="788" t="s">
        <v>308</v>
      </c>
      <c r="L83" s="207"/>
      <c r="M83" s="202"/>
      <c r="N83" s="66"/>
      <c r="O83" s="66"/>
    </row>
    <row r="84" spans="1:15" s="9" customFormat="1" ht="18.75" hidden="1" customHeight="1">
      <c r="A84" s="2"/>
      <c r="B84" s="1" t="s">
        <v>1684</v>
      </c>
      <c r="C84" s="1381"/>
      <c r="D84" s="1170"/>
      <c r="E84" s="1225"/>
      <c r="F84" s="1225"/>
      <c r="G84" s="239"/>
      <c r="H84" s="50" t="s">
        <v>1579</v>
      </c>
      <c r="I84" s="108"/>
      <c r="J84" s="240"/>
      <c r="K84" s="105"/>
      <c r="L84" s="207"/>
      <c r="M84" s="202"/>
      <c r="N84" s="66"/>
      <c r="O84" s="66"/>
    </row>
    <row r="85" spans="1:15" s="9" customFormat="1" ht="18.75" hidden="1" customHeight="1">
      <c r="A85" s="2" t="s">
        <v>252</v>
      </c>
      <c r="B85" s="1"/>
      <c r="C85" s="1381"/>
      <c r="D85" s="1170"/>
      <c r="E85" s="1225" t="str">
        <f>INDEX(PT_DIFFERENTIATION_VTAR,MATCH(A85,PT_DIFFERENTIATION_VTAR_ID,0))</f>
        <v>Тариф на горячую воду (горячее водоснабжение)</v>
      </c>
      <c r="F85" s="1225" t="str">
        <f>INDEX(PT_DIFFERENTIATION_VDET,MATCH(A85,PT_DIFFERENTIATION_VTAR_ID,0))</f>
        <v/>
      </c>
      <c r="G85" s="37"/>
      <c r="H85" s="979"/>
      <c r="I85" s="1006"/>
      <c r="J85" s="227"/>
      <c r="K85" s="788" t="s">
        <v>308</v>
      </c>
      <c r="L85" s="207"/>
      <c r="M85" s="202"/>
      <c r="N85" s="66"/>
      <c r="O85" s="66"/>
    </row>
    <row r="86" spans="1:15" s="9" customFormat="1" ht="18.75" hidden="1" customHeight="1">
      <c r="A86" s="2"/>
      <c r="B86" s="1" t="s">
        <v>1684</v>
      </c>
      <c r="C86" s="1381"/>
      <c r="D86" s="1170"/>
      <c r="E86" s="1225"/>
      <c r="F86" s="1225"/>
      <c r="G86" s="239"/>
      <c r="H86" s="50" t="s">
        <v>1579</v>
      </c>
      <c r="I86" s="108"/>
      <c r="J86" s="240"/>
      <c r="K86" s="105"/>
      <c r="L86" s="207"/>
      <c r="M86" s="202"/>
      <c r="N86" s="66"/>
      <c r="O86" s="66"/>
    </row>
    <row r="87" spans="1:15" s="9" customFormat="1" ht="18.75" hidden="1" customHeight="1">
      <c r="A87" s="2" t="s">
        <v>257</v>
      </c>
      <c r="B87" s="1"/>
      <c r="C87" s="1381"/>
      <c r="D87" s="1170"/>
      <c r="E87" s="1225" t="str">
        <f>INDEX(PT_DIFFERENTIATION_VTAR,MATCH(A87,PT_DIFFERENTIATION_VTAR_ID,0))</f>
        <v>Тариф на транспортировку горячей воды</v>
      </c>
      <c r="F87" s="1225" t="str">
        <f>INDEX(PT_DIFFERENTIATION_VDET,MATCH(A87,PT_DIFFERENTIATION_VTAR_ID,0))</f>
        <v/>
      </c>
      <c r="G87" s="37"/>
      <c r="H87" s="979"/>
      <c r="I87" s="1006"/>
      <c r="J87" s="227"/>
      <c r="K87" s="788" t="s">
        <v>308</v>
      </c>
      <c r="L87" s="207"/>
      <c r="M87" s="202"/>
      <c r="N87" s="66"/>
      <c r="O87" s="66"/>
    </row>
    <row r="88" spans="1:15" s="9" customFormat="1" ht="18.75" hidden="1" customHeight="1">
      <c r="A88" s="2"/>
      <c r="B88" s="1" t="s">
        <v>1684</v>
      </c>
      <c r="C88" s="1381"/>
      <c r="D88" s="1170"/>
      <c r="E88" s="1225"/>
      <c r="F88" s="1225"/>
      <c r="G88" s="239"/>
      <c r="H88" s="50" t="s">
        <v>1579</v>
      </c>
      <c r="I88" s="108"/>
      <c r="J88" s="240"/>
      <c r="K88" s="105"/>
      <c r="L88" s="207"/>
      <c r="M88" s="202"/>
      <c r="N88" s="66"/>
      <c r="O88" s="66"/>
    </row>
    <row r="89" spans="1:15" s="9" customFormat="1" ht="18.75" hidden="1" customHeight="1">
      <c r="A89" s="2" t="s">
        <v>262</v>
      </c>
      <c r="B89" s="1"/>
      <c r="C89" s="1381"/>
      <c r="D89" s="1170"/>
      <c r="E89" s="1225" t="str">
        <f>INDEX(PT_DIFFERENTIATION_VTAR,MATCH(A89,PT_DIFFERENTIATION_VTAR_ID,0))</f>
        <v>Тариф на подключение (технологическое присоединение) к централизованной системе горячего водоснабжения</v>
      </c>
      <c r="F89" s="1225" t="str">
        <f>INDEX(PT_DIFFERENTIATION_VDET,MATCH(A89,PT_DIFFERENTIATION_VTAR_ID,0))</f>
        <v/>
      </c>
      <c r="G89" s="37"/>
      <c r="H89" s="979"/>
      <c r="I89" s="1006"/>
      <c r="J89" s="227"/>
      <c r="K89" s="788" t="s">
        <v>308</v>
      </c>
      <c r="L89" s="207"/>
      <c r="M89" s="202"/>
      <c r="N89" s="66"/>
      <c r="O89" s="66"/>
    </row>
    <row r="90" spans="1:15" s="9" customFormat="1" ht="18.75" hidden="1" customHeight="1">
      <c r="A90" s="2"/>
      <c r="B90" s="1" t="s">
        <v>1684</v>
      </c>
      <c r="C90" s="1381"/>
      <c r="D90" s="1170"/>
      <c r="E90" s="1225"/>
      <c r="F90" s="1225"/>
      <c r="G90" s="239"/>
      <c r="H90" s="50" t="s">
        <v>1579</v>
      </c>
      <c r="I90" s="108"/>
      <c r="J90" s="240"/>
      <c r="K90" s="105"/>
      <c r="L90" s="207"/>
      <c r="M90" s="202"/>
      <c r="N90" s="66"/>
      <c r="O90" s="66"/>
    </row>
    <row r="91" spans="1:15" s="9" customFormat="1" ht="18.75" hidden="1" customHeight="1">
      <c r="A91" s="2" t="s">
        <v>267</v>
      </c>
      <c r="B91" s="1"/>
      <c r="C91" s="1381"/>
      <c r="D91" s="1170"/>
      <c r="E91" s="1225" t="str">
        <f>INDEX(PT_DIFFERENTIATION_VTAR,MATCH(A91,PT_DIFFERENTIATION_VTAR_ID,0))</f>
        <v>Тариф на водоотведение</v>
      </c>
      <c r="F91" s="1225" t="str">
        <f>INDEX(PT_DIFFERENTIATION_VDET,MATCH(A91,PT_DIFFERENTIATION_VTAR_ID,0))</f>
        <v/>
      </c>
      <c r="G91" s="37"/>
      <c r="H91" s="979"/>
      <c r="I91" s="1006"/>
      <c r="J91" s="227"/>
      <c r="K91" s="788" t="s">
        <v>308</v>
      </c>
      <c r="L91" s="207"/>
      <c r="M91" s="202"/>
      <c r="N91" s="66"/>
      <c r="O91" s="66"/>
    </row>
    <row r="92" spans="1:15" s="9" customFormat="1" ht="18.75" hidden="1" customHeight="1">
      <c r="A92" s="2"/>
      <c r="B92" s="1" t="s">
        <v>1684</v>
      </c>
      <c r="C92" s="1381"/>
      <c r="D92" s="1170"/>
      <c r="E92" s="1225"/>
      <c r="F92" s="1225"/>
      <c r="G92" s="239"/>
      <c r="H92" s="50" t="s">
        <v>1579</v>
      </c>
      <c r="I92" s="108"/>
      <c r="J92" s="240"/>
      <c r="K92" s="105"/>
      <c r="L92" s="207"/>
      <c r="M92" s="202"/>
      <c r="N92" s="66"/>
      <c r="O92" s="66"/>
    </row>
    <row r="93" spans="1:15" s="9" customFormat="1" ht="18.75" hidden="1" customHeight="1">
      <c r="A93" s="2" t="s">
        <v>272</v>
      </c>
      <c r="B93" s="1"/>
      <c r="C93" s="1381"/>
      <c r="D93" s="1170"/>
      <c r="E93" s="1225" t="str">
        <f>INDEX(PT_DIFFERENTIATION_VTAR,MATCH(A93,PT_DIFFERENTIATION_VTAR_ID,0))</f>
        <v>Тариф на транспортировку сточных вод</v>
      </c>
      <c r="F93" s="1225" t="str">
        <f>INDEX(PT_DIFFERENTIATION_VDET,MATCH(A93,PT_DIFFERENTIATION_VTAR_ID,0))</f>
        <v/>
      </c>
      <c r="G93" s="37"/>
      <c r="H93" s="979"/>
      <c r="I93" s="1006"/>
      <c r="J93" s="227"/>
      <c r="K93" s="788" t="s">
        <v>308</v>
      </c>
      <c r="L93" s="207"/>
      <c r="M93" s="202"/>
      <c r="N93" s="66"/>
      <c r="O93" s="66"/>
    </row>
    <row r="94" spans="1:15" s="9" customFormat="1" ht="18.75" hidden="1" customHeight="1">
      <c r="A94" s="2"/>
      <c r="B94" s="1" t="s">
        <v>1684</v>
      </c>
      <c r="C94" s="1381"/>
      <c r="D94" s="1170"/>
      <c r="E94" s="1225"/>
      <c r="F94" s="1225"/>
      <c r="G94" s="239"/>
      <c r="H94" s="50" t="s">
        <v>1579</v>
      </c>
      <c r="I94" s="108"/>
      <c r="J94" s="240"/>
      <c r="K94" s="105"/>
      <c r="L94" s="207"/>
      <c r="M94" s="202"/>
      <c r="N94" s="66"/>
      <c r="O94" s="66"/>
    </row>
    <row r="95" spans="1:15" s="9" customFormat="1" ht="18.75" hidden="1" customHeight="1">
      <c r="A95" s="2" t="s">
        <v>277</v>
      </c>
      <c r="B95" s="1"/>
      <c r="C95" s="1381"/>
      <c r="D95" s="1170"/>
      <c r="E95" s="1225" t="str">
        <f>INDEX(PT_DIFFERENTIATION_VTAR,MATCH(A95,PT_DIFFERENTIATION_VTAR_ID,0))</f>
        <v>Тариф на подключение (технологическое присоединение) к централизованной системе водоотведения</v>
      </c>
      <c r="F95" s="1225" t="str">
        <f>INDEX(PT_DIFFERENTIATION_VDET,MATCH(A95,PT_DIFFERENTIATION_VTAR_ID,0))</f>
        <v/>
      </c>
      <c r="G95" s="37"/>
      <c r="H95" s="979"/>
      <c r="I95" s="1006"/>
      <c r="J95" s="227"/>
      <c r="K95" s="788" t="s">
        <v>308</v>
      </c>
      <c r="L95" s="207"/>
      <c r="M95" s="202"/>
      <c r="N95" s="66"/>
      <c r="O95" s="66"/>
    </row>
    <row r="96" spans="1:15" s="9" customFormat="1" ht="18.75" hidden="1" customHeight="1">
      <c r="A96" s="2"/>
      <c r="B96" s="1" t="s">
        <v>1684</v>
      </c>
      <c r="C96" s="1381"/>
      <c r="D96" s="1170"/>
      <c r="E96" s="1225"/>
      <c r="F96" s="1225"/>
      <c r="G96" s="239"/>
      <c r="H96" s="50" t="s">
        <v>1579</v>
      </c>
      <c r="I96" s="108"/>
      <c r="J96" s="240"/>
      <c r="K96" s="105"/>
      <c r="L96" s="207"/>
      <c r="M96" s="202"/>
      <c r="N96" s="66"/>
      <c r="O96" s="66"/>
    </row>
    <row r="97" spans="1:15" ht="18.75" customHeight="1">
      <c r="A97" s="2"/>
      <c r="C97" s="27"/>
      <c r="D97" s="61" t="s">
        <v>91</v>
      </c>
      <c r="E97" s="1371" t="str">
        <f>"Годовой объем "&amp;IF(TEMPLATE_SPHERE="HEAT","полезного отпуска тепловой энергии (теплоносителя)","потребителям воды")</f>
        <v>Годовой объем потребителям воды</v>
      </c>
      <c r="F97" s="1371"/>
      <c r="G97" s="1371"/>
      <c r="H97" s="1371"/>
      <c r="I97" s="1371"/>
      <c r="J97" s="1371"/>
      <c r="K97" s="1371"/>
      <c r="L97" s="111"/>
      <c r="M97" s="202"/>
    </row>
    <row r="98" spans="1:15" s="9" customFormat="1" ht="56.25" hidden="1" customHeight="1">
      <c r="A98" s="2" t="s">
        <v>171</v>
      </c>
      <c r="B98" s="1"/>
      <c r="C98" s="1381"/>
      <c r="D98" s="1170"/>
      <c r="E98" s="122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1225" t="str">
        <f>INDEX(PT_DIFFERENTIATION_VDET,MATCH(A98,PT_DIFFERENTIATION_VTAR_ID,0))</f>
        <v/>
      </c>
      <c r="G98" s="37"/>
      <c r="H98" s="979"/>
      <c r="I98" s="1006"/>
      <c r="J98" s="227"/>
      <c r="K98" s="788" t="s">
        <v>308</v>
      </c>
      <c r="L98" s="11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02"/>
      <c r="N98" s="66"/>
      <c r="O98" s="66"/>
    </row>
    <row r="99" spans="1:15" s="9" customFormat="1" ht="18.75" hidden="1" customHeight="1">
      <c r="A99" s="2"/>
      <c r="B99" s="1" t="s">
        <v>1684</v>
      </c>
      <c r="C99" s="1381"/>
      <c r="D99" s="1170"/>
      <c r="E99" s="1225"/>
      <c r="F99" s="1225"/>
      <c r="G99" s="239"/>
      <c r="H99" s="50" t="s">
        <v>1579</v>
      </c>
      <c r="I99" s="108"/>
      <c r="J99" s="240"/>
      <c r="K99" s="105"/>
      <c r="L99" s="1136"/>
      <c r="M99" s="202"/>
      <c r="N99" s="66"/>
      <c r="O99" s="66"/>
    </row>
    <row r="100" spans="1:15" s="9" customFormat="1" ht="26.25" hidden="1" customHeight="1">
      <c r="A100" s="2" t="s">
        <v>177</v>
      </c>
      <c r="B100" s="1"/>
      <c r="C100" s="1381"/>
      <c r="D100" s="1170"/>
      <c r="E100" s="122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1225" t="str">
        <f>INDEX(PT_DIFFERENTIATION_VDET,MATCH(A100,PT_DIFFERENTIATION_VTAR_ID,0))</f>
        <v/>
      </c>
      <c r="G100" s="37"/>
      <c r="H100" s="979"/>
      <c r="I100" s="1006"/>
      <c r="J100" s="227"/>
      <c r="K100" s="788" t="s">
        <v>308</v>
      </c>
      <c r="L100" s="1137"/>
      <c r="M100" s="202"/>
      <c r="N100" s="66"/>
      <c r="O100" s="66"/>
    </row>
    <row r="101" spans="1:15" s="9" customFormat="1" ht="18.75" hidden="1" customHeight="1">
      <c r="A101" s="2"/>
      <c r="B101" s="1" t="s">
        <v>1684</v>
      </c>
      <c r="C101" s="1381"/>
      <c r="D101" s="1170"/>
      <c r="E101" s="1225"/>
      <c r="F101" s="1225"/>
      <c r="G101" s="239"/>
      <c r="H101" s="50" t="s">
        <v>1579</v>
      </c>
      <c r="I101" s="108"/>
      <c r="J101" s="240"/>
      <c r="K101" s="105"/>
      <c r="L101" s="207"/>
      <c r="M101" s="202"/>
      <c r="N101" s="66"/>
      <c r="O101" s="66"/>
    </row>
    <row r="102" spans="1:15" s="9" customFormat="1" ht="18.75" hidden="1" customHeight="1">
      <c r="A102" s="2" t="s">
        <v>183</v>
      </c>
      <c r="B102" s="1"/>
      <c r="C102" s="1381"/>
      <c r="D102" s="1170"/>
      <c r="E102" s="122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1225" t="str">
        <f>INDEX(PT_DIFFERENTIATION_VDET,MATCH(A102,PT_DIFFERENTIATION_VTAR_ID,0))</f>
        <v/>
      </c>
      <c r="G102" s="37"/>
      <c r="H102" s="979"/>
      <c r="I102" s="1006"/>
      <c r="J102" s="227"/>
      <c r="K102" s="788" t="s">
        <v>308</v>
      </c>
      <c r="L102" s="207"/>
      <c r="M102" s="202"/>
      <c r="N102" s="66"/>
      <c r="O102" s="66"/>
    </row>
    <row r="103" spans="1:15" s="9" customFormat="1" ht="18.75" hidden="1" customHeight="1">
      <c r="A103" s="2"/>
      <c r="B103" s="1" t="s">
        <v>1684</v>
      </c>
      <c r="C103" s="1381"/>
      <c r="D103" s="1170"/>
      <c r="E103" s="1225"/>
      <c r="F103" s="1225"/>
      <c r="G103" s="239"/>
      <c r="H103" s="50" t="s">
        <v>1579</v>
      </c>
      <c r="I103" s="108"/>
      <c r="J103" s="240"/>
      <c r="K103" s="105"/>
      <c r="L103" s="207"/>
      <c r="M103" s="202"/>
      <c r="N103" s="66"/>
      <c r="O103" s="66"/>
    </row>
    <row r="104" spans="1:15" s="9" customFormat="1" ht="41.25" hidden="1" customHeight="1">
      <c r="A104" s="2" t="s">
        <v>189</v>
      </c>
      <c r="B104" s="1"/>
      <c r="C104" s="1381"/>
      <c r="D104" s="1170"/>
      <c r="E104" s="122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1225" t="str">
        <f>INDEX(PT_DIFFERENTIATION_VDET,MATCH(A104,PT_DIFFERENTIATION_VTAR_ID,0))</f>
        <v/>
      </c>
      <c r="G104" s="37"/>
      <c r="H104" s="979"/>
      <c r="I104" s="1006"/>
      <c r="J104" s="227"/>
      <c r="K104" s="788" t="s">
        <v>308</v>
      </c>
      <c r="L104" s="207"/>
      <c r="M104" s="202"/>
      <c r="N104" s="66"/>
      <c r="O104" s="66"/>
    </row>
    <row r="105" spans="1:15" s="9" customFormat="1" ht="18.75" hidden="1" customHeight="1">
      <c r="A105" s="2"/>
      <c r="B105" s="1" t="s">
        <v>1684</v>
      </c>
      <c r="C105" s="1381"/>
      <c r="D105" s="1170"/>
      <c r="E105" s="1225"/>
      <c r="F105" s="1225"/>
      <c r="G105" s="239"/>
      <c r="H105" s="50" t="s">
        <v>1579</v>
      </c>
      <c r="I105" s="108"/>
      <c r="J105" s="240"/>
      <c r="K105" s="105"/>
      <c r="L105" s="207"/>
      <c r="M105" s="202"/>
      <c r="N105" s="66"/>
      <c r="O105" s="66"/>
    </row>
    <row r="106" spans="1:15" s="9" customFormat="1" ht="18.75" hidden="1" customHeight="1">
      <c r="A106" s="2" t="s">
        <v>195</v>
      </c>
      <c r="B106" s="1"/>
      <c r="C106" s="1381"/>
      <c r="D106" s="1170"/>
      <c r="E106" s="1225" t="str">
        <f>INDEX(PT_DIFFERENTIATION_VTAR,MATCH(A106,PT_DIFFERENTIATION_VTAR_ID,0))</f>
        <v>Тарифы на услуги по передаче тепловой энергии</v>
      </c>
      <c r="F106" s="1225" t="str">
        <f>INDEX(PT_DIFFERENTIATION_VDET,MATCH(A106,PT_DIFFERENTIATION_VTAR_ID,0))</f>
        <v/>
      </c>
      <c r="G106" s="37"/>
      <c r="H106" s="979"/>
      <c r="I106" s="1006"/>
      <c r="J106" s="227"/>
      <c r="K106" s="788" t="s">
        <v>308</v>
      </c>
      <c r="L106" s="207"/>
      <c r="M106" s="202"/>
      <c r="N106" s="66"/>
      <c r="O106" s="66"/>
    </row>
    <row r="107" spans="1:15" s="9" customFormat="1" ht="18.75" hidden="1" customHeight="1">
      <c r="A107" s="2"/>
      <c r="B107" s="1" t="s">
        <v>1684</v>
      </c>
      <c r="C107" s="1381"/>
      <c r="D107" s="1170"/>
      <c r="E107" s="1225"/>
      <c r="F107" s="1225"/>
      <c r="G107" s="239"/>
      <c r="H107" s="50" t="s">
        <v>1579</v>
      </c>
      <c r="I107" s="108"/>
      <c r="J107" s="240"/>
      <c r="K107" s="105"/>
      <c r="L107" s="207"/>
      <c r="M107" s="202"/>
      <c r="N107" s="66"/>
      <c r="O107" s="66"/>
    </row>
    <row r="108" spans="1:15" s="9" customFormat="1" ht="18.75" hidden="1" customHeight="1">
      <c r="A108" s="2" t="s">
        <v>201</v>
      </c>
      <c r="B108" s="1"/>
      <c r="C108" s="1381"/>
      <c r="D108" s="1170"/>
      <c r="E108" s="1225" t="str">
        <f>INDEX(PT_DIFFERENTIATION_VTAR,MATCH(A108,PT_DIFFERENTIATION_VTAR_ID,0))</f>
        <v>Тарифы на услуги по передаче теплоносителя</v>
      </c>
      <c r="F108" s="1225" t="str">
        <f>INDEX(PT_DIFFERENTIATION_VDET,MATCH(A108,PT_DIFFERENTIATION_VTAR_ID,0))</f>
        <v/>
      </c>
      <c r="G108" s="37"/>
      <c r="H108" s="979"/>
      <c r="I108" s="1006"/>
      <c r="J108" s="227"/>
      <c r="K108" s="788" t="s">
        <v>308</v>
      </c>
      <c r="L108" s="207"/>
      <c r="M108" s="202"/>
      <c r="N108" s="66"/>
      <c r="O108" s="66"/>
    </row>
    <row r="109" spans="1:15" s="9" customFormat="1" ht="18.75" hidden="1" customHeight="1">
      <c r="A109" s="2"/>
      <c r="B109" s="1" t="s">
        <v>1684</v>
      </c>
      <c r="C109" s="1381"/>
      <c r="D109" s="1170"/>
      <c r="E109" s="1225"/>
      <c r="F109" s="1225"/>
      <c r="G109" s="239"/>
      <c r="H109" s="50" t="s">
        <v>1579</v>
      </c>
      <c r="I109" s="108"/>
      <c r="J109" s="240"/>
      <c r="K109" s="105"/>
      <c r="L109" s="207"/>
      <c r="M109" s="202"/>
      <c r="N109" s="66"/>
      <c r="O109" s="66"/>
    </row>
    <row r="110" spans="1:15" s="9" customFormat="1" ht="18.75" hidden="1" customHeight="1">
      <c r="A110" s="2" t="s">
        <v>207</v>
      </c>
      <c r="B110" s="1"/>
      <c r="C110" s="1381"/>
      <c r="D110" s="1170"/>
      <c r="E110" s="122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1225" t="str">
        <f>INDEX(PT_DIFFERENTIATION_VDET,MATCH(A110,PT_DIFFERENTIATION_VTAR_ID,0))</f>
        <v/>
      </c>
      <c r="G110" s="37"/>
      <c r="H110" s="979"/>
      <c r="I110" s="1006"/>
      <c r="J110" s="227"/>
      <c r="K110" s="788" t="s">
        <v>308</v>
      </c>
      <c r="L110" s="207"/>
      <c r="M110" s="202"/>
      <c r="N110" s="66"/>
      <c r="O110" s="66"/>
    </row>
    <row r="111" spans="1:15" s="9" customFormat="1" ht="18.75" hidden="1" customHeight="1">
      <c r="A111" s="2"/>
      <c r="B111" s="1" t="s">
        <v>1684</v>
      </c>
      <c r="C111" s="1381"/>
      <c r="D111" s="1170"/>
      <c r="E111" s="1225"/>
      <c r="F111" s="1225"/>
      <c r="G111" s="239"/>
      <c r="H111" s="50" t="s">
        <v>1579</v>
      </c>
      <c r="I111" s="108"/>
      <c r="J111" s="240"/>
      <c r="K111" s="105"/>
      <c r="L111" s="207"/>
      <c r="M111" s="202"/>
      <c r="N111" s="66"/>
      <c r="O111" s="66"/>
    </row>
    <row r="112" spans="1:15" s="9" customFormat="1" ht="18.75" hidden="1" customHeight="1">
      <c r="A112" s="2" t="s">
        <v>213</v>
      </c>
      <c r="B112" s="1"/>
      <c r="C112" s="1381"/>
      <c r="D112" s="1170"/>
      <c r="E112" s="1225" t="str">
        <f>INDEX(PT_DIFFERENTIATION_VTAR,MATCH(A112,PT_DIFFERENTIATION_VTAR_ID,0))</f>
        <v>Плата за подключение (технологическое присоединение) к системе теплоснабжения</v>
      </c>
      <c r="F112" s="1225" t="str">
        <f>INDEX(PT_DIFFERENTIATION_VDET,MATCH(A112,PT_DIFFERENTIATION_VTAR_ID,0))</f>
        <v/>
      </c>
      <c r="G112" s="37"/>
      <c r="H112" s="979"/>
      <c r="I112" s="1006"/>
      <c r="J112" s="227"/>
      <c r="K112" s="788" t="s">
        <v>308</v>
      </c>
      <c r="L112" s="207"/>
      <c r="M112" s="202"/>
      <c r="N112" s="66"/>
      <c r="O112" s="66"/>
    </row>
    <row r="113" spans="1:15" s="9" customFormat="1" ht="18.75" hidden="1" customHeight="1">
      <c r="A113" s="2"/>
      <c r="B113" s="1" t="s">
        <v>1684</v>
      </c>
      <c r="C113" s="1381"/>
      <c r="D113" s="1170"/>
      <c r="E113" s="1225"/>
      <c r="F113" s="1225"/>
      <c r="G113" s="239"/>
      <c r="H113" s="50" t="s">
        <v>1579</v>
      </c>
      <c r="I113" s="108"/>
      <c r="J113" s="240"/>
      <c r="K113" s="105"/>
      <c r="L113" s="207"/>
      <c r="M113" s="202"/>
      <c r="N113" s="66"/>
      <c r="O113" s="66"/>
    </row>
    <row r="114" spans="1:15" s="9" customFormat="1" ht="18.75" hidden="1" customHeight="1">
      <c r="A114" s="2" t="s">
        <v>227</v>
      </c>
      <c r="B114" s="1"/>
      <c r="C114" s="1381"/>
      <c r="D114" s="1170"/>
      <c r="E114" s="1225" t="str">
        <f>INDEX(PT_DIFFERENTIATION_VTAR,MATCH(A114,PT_DIFFERENTIATION_VTAR_ID,0))</f>
        <v>Тариф на питьевую воду (питьевое водоснабжение)</v>
      </c>
      <c r="F114" s="1225" t="str">
        <f>INDEX(PT_DIFFERENTIATION_VDET,MATCH(A114,PT_DIFFERENTIATION_VTAR_ID,0))</f>
        <v/>
      </c>
      <c r="G114" s="37"/>
      <c r="H114" s="979"/>
      <c r="I114" s="1006"/>
      <c r="J114" s="227"/>
      <c r="K114" s="788" t="s">
        <v>308</v>
      </c>
      <c r="L114" s="207"/>
      <c r="M114" s="202"/>
      <c r="N114" s="66"/>
      <c r="O114" s="66"/>
    </row>
    <row r="115" spans="1:15" s="9" customFormat="1" ht="18.75" hidden="1" customHeight="1">
      <c r="A115" s="2"/>
      <c r="B115" s="1" t="s">
        <v>1684</v>
      </c>
      <c r="C115" s="1381"/>
      <c r="D115" s="1170"/>
      <c r="E115" s="1225"/>
      <c r="F115" s="1225"/>
      <c r="G115" s="239"/>
      <c r="H115" s="50" t="s">
        <v>1579</v>
      </c>
      <c r="I115" s="108"/>
      <c r="J115" s="240"/>
      <c r="K115" s="105"/>
      <c r="L115" s="207"/>
      <c r="M115" s="202"/>
      <c r="N115" s="66"/>
      <c r="O115" s="66"/>
    </row>
    <row r="116" spans="1:15" s="9" customFormat="1" ht="18.75" hidden="1" customHeight="1">
      <c r="A116" s="2" t="s">
        <v>232</v>
      </c>
      <c r="B116" s="1"/>
      <c r="C116" s="1381"/>
      <c r="D116" s="1170"/>
      <c r="E116" s="1225" t="str">
        <f>INDEX(PT_DIFFERENTIATION_VTAR,MATCH(A116,PT_DIFFERENTIATION_VTAR_ID,0))</f>
        <v>Тариф на техническую воду</v>
      </c>
      <c r="F116" s="1225" t="str">
        <f>INDEX(PT_DIFFERENTIATION_VDET,MATCH(A116,PT_DIFFERENTIATION_VTAR_ID,0))</f>
        <v/>
      </c>
      <c r="G116" s="37"/>
      <c r="H116" s="979"/>
      <c r="I116" s="1006"/>
      <c r="J116" s="227"/>
      <c r="K116" s="788" t="s">
        <v>308</v>
      </c>
      <c r="L116" s="207"/>
      <c r="M116" s="202"/>
      <c r="N116" s="66"/>
      <c r="O116" s="66"/>
    </row>
    <row r="117" spans="1:15" s="9" customFormat="1" ht="18.75" hidden="1" customHeight="1">
      <c r="A117" s="2"/>
      <c r="B117" s="1" t="s">
        <v>1684</v>
      </c>
      <c r="C117" s="1381"/>
      <c r="D117" s="1170"/>
      <c r="E117" s="1225"/>
      <c r="F117" s="1225"/>
      <c r="G117" s="239"/>
      <c r="H117" s="50" t="s">
        <v>1579</v>
      </c>
      <c r="I117" s="108"/>
      <c r="J117" s="240"/>
      <c r="K117" s="105"/>
      <c r="L117" s="207"/>
      <c r="M117" s="202"/>
      <c r="N117" s="66"/>
      <c r="O117" s="66"/>
    </row>
    <row r="118" spans="1:15" s="9" customFormat="1" ht="18.75" hidden="1" customHeight="1">
      <c r="A118" s="2" t="s">
        <v>237</v>
      </c>
      <c r="B118" s="1"/>
      <c r="C118" s="1381"/>
      <c r="D118" s="1170"/>
      <c r="E118" s="1225" t="str">
        <f>INDEX(PT_DIFFERENTIATION_VTAR,MATCH(A118,PT_DIFFERENTIATION_VTAR_ID,0))</f>
        <v>Тариф на транспортировку воды</v>
      </c>
      <c r="F118" s="1225" t="str">
        <f>INDEX(PT_DIFFERENTIATION_VDET,MATCH(A118,PT_DIFFERENTIATION_VTAR_ID,0))</f>
        <v/>
      </c>
      <c r="G118" s="37"/>
      <c r="H118" s="979"/>
      <c r="I118" s="1006"/>
      <c r="J118" s="227"/>
      <c r="K118" s="788" t="s">
        <v>308</v>
      </c>
      <c r="L118" s="207"/>
      <c r="M118" s="202"/>
      <c r="N118" s="66"/>
      <c r="O118" s="66"/>
    </row>
    <row r="119" spans="1:15" s="9" customFormat="1" ht="18.75" hidden="1" customHeight="1">
      <c r="A119" s="2"/>
      <c r="B119" s="1" t="s">
        <v>1684</v>
      </c>
      <c r="C119" s="1381"/>
      <c r="D119" s="1170"/>
      <c r="E119" s="1225"/>
      <c r="F119" s="1225"/>
      <c r="G119" s="239"/>
      <c r="H119" s="50" t="s">
        <v>1579</v>
      </c>
      <c r="I119" s="108"/>
      <c r="J119" s="240"/>
      <c r="K119" s="105"/>
      <c r="L119" s="207"/>
      <c r="M119" s="202"/>
      <c r="N119" s="66"/>
      <c r="O119" s="66"/>
    </row>
    <row r="120" spans="1:15" s="9" customFormat="1" ht="18.75" hidden="1" customHeight="1">
      <c r="A120" s="2" t="s">
        <v>242</v>
      </c>
      <c r="B120" s="1"/>
      <c r="C120" s="1381"/>
      <c r="D120" s="1170"/>
      <c r="E120" s="1225" t="str">
        <f>INDEX(PT_DIFFERENTIATION_VTAR,MATCH(A120,PT_DIFFERENTIATION_VTAR_ID,0))</f>
        <v>Тариф на подвоз воды</v>
      </c>
      <c r="F120" s="1225" t="str">
        <f>INDEX(PT_DIFFERENTIATION_VDET,MATCH(A120,PT_DIFFERENTIATION_VTAR_ID,0))</f>
        <v/>
      </c>
      <c r="G120" s="37"/>
      <c r="H120" s="979"/>
      <c r="I120" s="1006"/>
      <c r="J120" s="227"/>
      <c r="K120" s="788" t="s">
        <v>308</v>
      </c>
      <c r="L120" s="207"/>
      <c r="M120" s="202"/>
      <c r="N120" s="66"/>
      <c r="O120" s="66"/>
    </row>
    <row r="121" spans="1:15" s="9" customFormat="1" ht="18.75" hidden="1" customHeight="1">
      <c r="A121" s="2"/>
      <c r="B121" s="1" t="s">
        <v>1684</v>
      </c>
      <c r="C121" s="1381"/>
      <c r="D121" s="1170"/>
      <c r="E121" s="1225"/>
      <c r="F121" s="1225"/>
      <c r="G121" s="239"/>
      <c r="H121" s="50" t="s">
        <v>1579</v>
      </c>
      <c r="I121" s="108"/>
      <c r="J121" s="240"/>
      <c r="K121" s="105"/>
      <c r="L121" s="207"/>
      <c r="M121" s="202"/>
      <c r="N121" s="66"/>
      <c r="O121" s="66"/>
    </row>
    <row r="122" spans="1:15" s="9" customFormat="1" ht="18.75" hidden="1" customHeight="1">
      <c r="A122" s="2" t="s">
        <v>247</v>
      </c>
      <c r="B122" s="1"/>
      <c r="C122" s="1381"/>
      <c r="D122" s="1170"/>
      <c r="E122" s="122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1225" t="str">
        <f>INDEX(PT_DIFFERENTIATION_VDET,MATCH(A122,PT_DIFFERENTIATION_VTAR_ID,0))</f>
        <v/>
      </c>
      <c r="G122" s="37"/>
      <c r="H122" s="979"/>
      <c r="I122" s="1006"/>
      <c r="J122" s="227"/>
      <c r="K122" s="788" t="s">
        <v>308</v>
      </c>
      <c r="L122" s="207"/>
      <c r="M122" s="202"/>
      <c r="N122" s="66"/>
      <c r="O122" s="66"/>
    </row>
    <row r="123" spans="1:15" s="9" customFormat="1" ht="18.75" hidden="1" customHeight="1">
      <c r="A123" s="2"/>
      <c r="B123" s="1" t="s">
        <v>1684</v>
      </c>
      <c r="C123" s="1381"/>
      <c r="D123" s="1170"/>
      <c r="E123" s="1225"/>
      <c r="F123" s="1225"/>
      <c r="G123" s="239"/>
      <c r="H123" s="50" t="s">
        <v>1579</v>
      </c>
      <c r="I123" s="108"/>
      <c r="J123" s="240"/>
      <c r="K123" s="105"/>
      <c r="L123" s="207"/>
      <c r="M123" s="202"/>
      <c r="N123" s="66"/>
      <c r="O123" s="66"/>
    </row>
    <row r="124" spans="1:15" s="9" customFormat="1" ht="18.75" hidden="1" customHeight="1">
      <c r="A124" s="2" t="s">
        <v>252</v>
      </c>
      <c r="B124" s="1"/>
      <c r="C124" s="1381"/>
      <c r="D124" s="1170"/>
      <c r="E124" s="1225" t="str">
        <f>INDEX(PT_DIFFERENTIATION_VTAR,MATCH(A124,PT_DIFFERENTIATION_VTAR_ID,0))</f>
        <v>Тариф на горячую воду (горячее водоснабжение)</v>
      </c>
      <c r="F124" s="1225" t="str">
        <f>INDEX(PT_DIFFERENTIATION_VDET,MATCH(A124,PT_DIFFERENTIATION_VTAR_ID,0))</f>
        <v/>
      </c>
      <c r="G124" s="37"/>
      <c r="H124" s="979"/>
      <c r="I124" s="1006"/>
      <c r="J124" s="227"/>
      <c r="K124" s="788" t="s">
        <v>308</v>
      </c>
      <c r="L124" s="207"/>
      <c r="M124" s="202"/>
      <c r="N124" s="66"/>
      <c r="O124" s="66"/>
    </row>
    <row r="125" spans="1:15" s="9" customFormat="1" ht="18.75" hidden="1" customHeight="1">
      <c r="A125" s="2"/>
      <c r="B125" s="1" t="s">
        <v>1684</v>
      </c>
      <c r="C125" s="1381"/>
      <c r="D125" s="1170"/>
      <c r="E125" s="1225"/>
      <c r="F125" s="1225"/>
      <c r="G125" s="239"/>
      <c r="H125" s="50" t="s">
        <v>1579</v>
      </c>
      <c r="I125" s="108"/>
      <c r="J125" s="240"/>
      <c r="K125" s="105"/>
      <c r="L125" s="207"/>
      <c r="M125" s="202"/>
      <c r="N125" s="66"/>
      <c r="O125" s="66"/>
    </row>
    <row r="126" spans="1:15" s="9" customFormat="1" ht="18.75" hidden="1" customHeight="1">
      <c r="A126" s="2" t="s">
        <v>257</v>
      </c>
      <c r="B126" s="1"/>
      <c r="C126" s="1381"/>
      <c r="D126" s="1170"/>
      <c r="E126" s="1225" t="str">
        <f>INDEX(PT_DIFFERENTIATION_VTAR,MATCH(A126,PT_DIFFERENTIATION_VTAR_ID,0))</f>
        <v>Тариф на транспортировку горячей воды</v>
      </c>
      <c r="F126" s="1225" t="str">
        <f>INDEX(PT_DIFFERENTIATION_VDET,MATCH(A126,PT_DIFFERENTIATION_VTAR_ID,0))</f>
        <v/>
      </c>
      <c r="G126" s="37"/>
      <c r="H126" s="979"/>
      <c r="I126" s="1006"/>
      <c r="J126" s="227"/>
      <c r="K126" s="788" t="s">
        <v>308</v>
      </c>
      <c r="L126" s="207"/>
      <c r="M126" s="202"/>
      <c r="N126" s="66"/>
      <c r="O126" s="66"/>
    </row>
    <row r="127" spans="1:15" s="9" customFormat="1" ht="18.75" hidden="1" customHeight="1">
      <c r="A127" s="2"/>
      <c r="B127" s="1" t="s">
        <v>1684</v>
      </c>
      <c r="C127" s="1381"/>
      <c r="D127" s="1170"/>
      <c r="E127" s="1225"/>
      <c r="F127" s="1225"/>
      <c r="G127" s="239"/>
      <c r="H127" s="50" t="s">
        <v>1579</v>
      </c>
      <c r="I127" s="108"/>
      <c r="J127" s="240"/>
      <c r="K127" s="105"/>
      <c r="L127" s="207"/>
      <c r="M127" s="202"/>
      <c r="N127" s="66"/>
      <c r="O127" s="66"/>
    </row>
    <row r="128" spans="1:15" s="9" customFormat="1" ht="18.75" hidden="1" customHeight="1">
      <c r="A128" s="2" t="s">
        <v>262</v>
      </c>
      <c r="B128" s="1"/>
      <c r="C128" s="1381"/>
      <c r="D128" s="1170"/>
      <c r="E128" s="1225" t="str">
        <f>INDEX(PT_DIFFERENTIATION_VTAR,MATCH(A128,PT_DIFFERENTIATION_VTAR_ID,0))</f>
        <v>Тариф на подключение (технологическое присоединение) к централизованной системе горячего водоснабжения</v>
      </c>
      <c r="F128" s="1225" t="str">
        <f>INDEX(PT_DIFFERENTIATION_VDET,MATCH(A128,PT_DIFFERENTIATION_VTAR_ID,0))</f>
        <v/>
      </c>
      <c r="G128" s="37"/>
      <c r="H128" s="979"/>
      <c r="I128" s="1006"/>
      <c r="J128" s="227"/>
      <c r="K128" s="788" t="s">
        <v>308</v>
      </c>
      <c r="L128" s="207"/>
      <c r="M128" s="202"/>
      <c r="N128" s="66"/>
      <c r="O128" s="66"/>
    </row>
    <row r="129" spans="1:15" s="9" customFormat="1" ht="18.75" hidden="1" customHeight="1">
      <c r="A129" s="2"/>
      <c r="B129" s="1" t="s">
        <v>1684</v>
      </c>
      <c r="C129" s="1381"/>
      <c r="D129" s="1170"/>
      <c r="E129" s="1225"/>
      <c r="F129" s="1225"/>
      <c r="G129" s="239"/>
      <c r="H129" s="50" t="s">
        <v>1579</v>
      </c>
      <c r="I129" s="108"/>
      <c r="J129" s="240"/>
      <c r="K129" s="105"/>
      <c r="L129" s="207"/>
      <c r="M129" s="202"/>
      <c r="N129" s="66"/>
      <c r="O129" s="66"/>
    </row>
    <row r="130" spans="1:15" s="9" customFormat="1" ht="18.75" hidden="1" customHeight="1">
      <c r="A130" s="2" t="s">
        <v>267</v>
      </c>
      <c r="B130" s="1"/>
      <c r="C130" s="1381"/>
      <c r="D130" s="1170"/>
      <c r="E130" s="1225" t="str">
        <f>INDEX(PT_DIFFERENTIATION_VTAR,MATCH(A130,PT_DIFFERENTIATION_VTAR_ID,0))</f>
        <v>Тариф на водоотведение</v>
      </c>
      <c r="F130" s="1225" t="str">
        <f>INDEX(PT_DIFFERENTIATION_VDET,MATCH(A130,PT_DIFFERENTIATION_VTAR_ID,0))</f>
        <v/>
      </c>
      <c r="G130" s="37"/>
      <c r="H130" s="979"/>
      <c r="I130" s="1006"/>
      <c r="J130" s="227"/>
      <c r="K130" s="788" t="s">
        <v>308</v>
      </c>
      <c r="L130" s="207"/>
      <c r="M130" s="202"/>
      <c r="N130" s="66"/>
      <c r="O130" s="66"/>
    </row>
    <row r="131" spans="1:15" s="9" customFormat="1" ht="18.75" hidden="1" customHeight="1">
      <c r="A131" s="2"/>
      <c r="B131" s="1" t="s">
        <v>1684</v>
      </c>
      <c r="C131" s="1381"/>
      <c r="D131" s="1170"/>
      <c r="E131" s="1225"/>
      <c r="F131" s="1225"/>
      <c r="G131" s="239"/>
      <c r="H131" s="50" t="s">
        <v>1579</v>
      </c>
      <c r="I131" s="108"/>
      <c r="J131" s="240"/>
      <c r="K131" s="105"/>
      <c r="L131" s="207"/>
      <c r="M131" s="202"/>
      <c r="N131" s="66"/>
      <c r="O131" s="66"/>
    </row>
    <row r="132" spans="1:15" s="9" customFormat="1" ht="18.75" hidden="1" customHeight="1">
      <c r="A132" s="2" t="s">
        <v>272</v>
      </c>
      <c r="B132" s="1"/>
      <c r="C132" s="1381"/>
      <c r="D132" s="1170"/>
      <c r="E132" s="1225" t="str">
        <f>INDEX(PT_DIFFERENTIATION_VTAR,MATCH(A132,PT_DIFFERENTIATION_VTAR_ID,0))</f>
        <v>Тариф на транспортировку сточных вод</v>
      </c>
      <c r="F132" s="1225" t="str">
        <f>INDEX(PT_DIFFERENTIATION_VDET,MATCH(A132,PT_DIFFERENTIATION_VTAR_ID,0))</f>
        <v/>
      </c>
      <c r="G132" s="37"/>
      <c r="H132" s="979"/>
      <c r="I132" s="1006"/>
      <c r="J132" s="227"/>
      <c r="K132" s="788" t="s">
        <v>308</v>
      </c>
      <c r="L132" s="207"/>
      <c r="M132" s="202"/>
      <c r="N132" s="66"/>
      <c r="O132" s="66"/>
    </row>
    <row r="133" spans="1:15" s="9" customFormat="1" ht="18.75" hidden="1" customHeight="1">
      <c r="A133" s="2"/>
      <c r="B133" s="1" t="s">
        <v>1684</v>
      </c>
      <c r="C133" s="1381"/>
      <c r="D133" s="1170"/>
      <c r="E133" s="1225"/>
      <c r="F133" s="1225"/>
      <c r="G133" s="239"/>
      <c r="H133" s="50" t="s">
        <v>1579</v>
      </c>
      <c r="I133" s="108"/>
      <c r="J133" s="240"/>
      <c r="K133" s="105"/>
      <c r="L133" s="207"/>
      <c r="M133" s="202"/>
      <c r="N133" s="66"/>
      <c r="O133" s="66"/>
    </row>
    <row r="134" spans="1:15" s="9" customFormat="1" ht="18.75" hidden="1" customHeight="1">
      <c r="A134" s="2" t="s">
        <v>277</v>
      </c>
      <c r="B134" s="1"/>
      <c r="C134" s="1381"/>
      <c r="D134" s="1170"/>
      <c r="E134" s="1225" t="str">
        <f>INDEX(PT_DIFFERENTIATION_VTAR,MATCH(A134,PT_DIFFERENTIATION_VTAR_ID,0))</f>
        <v>Тариф на подключение (технологическое присоединение) к централизованной системе водоотведения</v>
      </c>
      <c r="F134" s="1225" t="str">
        <f>INDEX(PT_DIFFERENTIATION_VDET,MATCH(A134,PT_DIFFERENTIATION_VTAR_ID,0))</f>
        <v/>
      </c>
      <c r="G134" s="37"/>
      <c r="H134" s="979"/>
      <c r="I134" s="1006"/>
      <c r="J134" s="227"/>
      <c r="K134" s="788" t="s">
        <v>308</v>
      </c>
      <c r="L134" s="207"/>
      <c r="M134" s="202"/>
      <c r="N134" s="66"/>
      <c r="O134" s="66"/>
    </row>
    <row r="135" spans="1:15" s="9" customFormat="1" ht="18.75" hidden="1" customHeight="1">
      <c r="A135" s="2"/>
      <c r="B135" s="1" t="s">
        <v>1684</v>
      </c>
      <c r="C135" s="1381"/>
      <c r="D135" s="1170"/>
      <c r="E135" s="1225"/>
      <c r="F135" s="1225"/>
      <c r="G135" s="239"/>
      <c r="H135" s="50" t="s">
        <v>1579</v>
      </c>
      <c r="I135" s="108"/>
      <c r="J135" s="240"/>
      <c r="K135" s="105"/>
      <c r="L135" s="207"/>
      <c r="M135" s="202"/>
      <c r="N135" s="66"/>
      <c r="O135" s="66"/>
    </row>
    <row r="136" spans="1:15" ht="26.25" customHeight="1">
      <c r="A136" s="2"/>
      <c r="C136" s="27"/>
      <c r="D136" s="61" t="s">
        <v>120</v>
      </c>
      <c r="E136" s="137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1371"/>
      <c r="G136" s="1371"/>
      <c r="H136" s="1371"/>
      <c r="I136" s="1371"/>
      <c r="J136" s="1371"/>
      <c r="K136" s="1371"/>
      <c r="L136" s="111"/>
      <c r="M136" s="202"/>
    </row>
    <row r="137" spans="1:15" s="9" customFormat="1" ht="56.25" hidden="1" customHeight="1">
      <c r="A137" s="2" t="s">
        <v>171</v>
      </c>
      <c r="B137" s="1"/>
      <c r="C137" s="1381"/>
      <c r="D137" s="1170"/>
      <c r="E137" s="122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1225" t="str">
        <f>INDEX(PT_DIFFERENTIATION_VDET,MATCH(A137,PT_DIFFERENTIATION_VTAR_ID,0))</f>
        <v/>
      </c>
      <c r="G137" s="37"/>
      <c r="H137" s="979"/>
      <c r="I137" s="1006"/>
      <c r="J137" s="227"/>
      <c r="K137" s="788" t="s">
        <v>308</v>
      </c>
      <c r="L137" s="11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202"/>
      <c r="N137" s="66"/>
      <c r="O137" s="66"/>
    </row>
    <row r="138" spans="1:15" s="9" customFormat="1" ht="18.75" hidden="1" customHeight="1">
      <c r="A138" s="2"/>
      <c r="B138" s="1" t="s">
        <v>1684</v>
      </c>
      <c r="C138" s="1381"/>
      <c r="D138" s="1170"/>
      <c r="E138" s="1225"/>
      <c r="F138" s="1225"/>
      <c r="G138" s="239"/>
      <c r="H138" s="50" t="s">
        <v>1579</v>
      </c>
      <c r="I138" s="108"/>
      <c r="J138" s="240"/>
      <c r="K138" s="105"/>
      <c r="L138" s="1136"/>
      <c r="M138" s="202"/>
      <c r="N138" s="66"/>
      <c r="O138" s="66"/>
    </row>
    <row r="139" spans="1:15" s="9" customFormat="1" ht="26.25" hidden="1" customHeight="1">
      <c r="A139" s="2" t="s">
        <v>177</v>
      </c>
      <c r="B139" s="1"/>
      <c r="C139" s="1381"/>
      <c r="D139" s="1170"/>
      <c r="E139" s="122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1225" t="str">
        <f>INDEX(PT_DIFFERENTIATION_VDET,MATCH(A139,PT_DIFFERENTIATION_VTAR_ID,0))</f>
        <v/>
      </c>
      <c r="G139" s="37"/>
      <c r="H139" s="979"/>
      <c r="I139" s="1006"/>
      <c r="J139" s="227"/>
      <c r="K139" s="788" t="s">
        <v>308</v>
      </c>
      <c r="L139" s="1137"/>
      <c r="M139" s="202"/>
      <c r="N139" s="66"/>
      <c r="O139" s="66"/>
    </row>
    <row r="140" spans="1:15" s="9" customFormat="1" ht="18.75" hidden="1" customHeight="1">
      <c r="A140" s="2"/>
      <c r="B140" s="1" t="s">
        <v>1684</v>
      </c>
      <c r="C140" s="1381"/>
      <c r="D140" s="1170"/>
      <c r="E140" s="1225"/>
      <c r="F140" s="1225"/>
      <c r="G140" s="239"/>
      <c r="H140" s="50" t="s">
        <v>1579</v>
      </c>
      <c r="I140" s="108"/>
      <c r="J140" s="240"/>
      <c r="K140" s="105"/>
      <c r="L140" s="207"/>
      <c r="M140" s="202"/>
      <c r="N140" s="66"/>
      <c r="O140" s="66"/>
    </row>
    <row r="141" spans="1:15" s="9" customFormat="1" ht="18.75" hidden="1" customHeight="1">
      <c r="A141" s="2" t="s">
        <v>183</v>
      </c>
      <c r="B141" s="1"/>
      <c r="C141" s="1381"/>
      <c r="D141" s="1170"/>
      <c r="E141" s="122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1225" t="str">
        <f>INDEX(PT_DIFFERENTIATION_VDET,MATCH(A141,PT_DIFFERENTIATION_VTAR_ID,0))</f>
        <v/>
      </c>
      <c r="G141" s="37"/>
      <c r="H141" s="979"/>
      <c r="I141" s="1006"/>
      <c r="J141" s="227"/>
      <c r="K141" s="788" t="s">
        <v>308</v>
      </c>
      <c r="L141" s="207"/>
      <c r="M141" s="202"/>
      <c r="N141" s="66"/>
      <c r="O141" s="66"/>
    </row>
    <row r="142" spans="1:15" s="9" customFormat="1" ht="18.75" hidden="1" customHeight="1">
      <c r="A142" s="2"/>
      <c r="B142" s="1" t="s">
        <v>1684</v>
      </c>
      <c r="C142" s="1381"/>
      <c r="D142" s="1170"/>
      <c r="E142" s="1225"/>
      <c r="F142" s="1225"/>
      <c r="G142" s="239"/>
      <c r="H142" s="50" t="s">
        <v>1579</v>
      </c>
      <c r="I142" s="108"/>
      <c r="J142" s="240"/>
      <c r="K142" s="105"/>
      <c r="L142" s="207"/>
      <c r="M142" s="202"/>
      <c r="N142" s="66"/>
      <c r="O142" s="66"/>
    </row>
    <row r="143" spans="1:15" s="9" customFormat="1" ht="40.5" hidden="1" customHeight="1">
      <c r="A143" s="2" t="s">
        <v>189</v>
      </c>
      <c r="B143" s="1"/>
      <c r="C143" s="1381"/>
      <c r="D143" s="1170"/>
      <c r="E143" s="122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1225" t="str">
        <f>INDEX(PT_DIFFERENTIATION_VDET,MATCH(A143,PT_DIFFERENTIATION_VTAR_ID,0))</f>
        <v/>
      </c>
      <c r="G143" s="37"/>
      <c r="H143" s="979"/>
      <c r="I143" s="1006"/>
      <c r="J143" s="227"/>
      <c r="K143" s="788" t="s">
        <v>308</v>
      </c>
      <c r="L143" s="207"/>
      <c r="M143" s="202"/>
      <c r="N143" s="66"/>
      <c r="O143" s="66"/>
    </row>
    <row r="144" spans="1:15" s="9" customFormat="1" ht="18.75" hidden="1" customHeight="1">
      <c r="A144" s="2"/>
      <c r="B144" s="1" t="s">
        <v>1684</v>
      </c>
      <c r="C144" s="1381"/>
      <c r="D144" s="1170"/>
      <c r="E144" s="1225"/>
      <c r="F144" s="1225"/>
      <c r="G144" s="239"/>
      <c r="H144" s="50" t="s">
        <v>1579</v>
      </c>
      <c r="I144" s="108"/>
      <c r="J144" s="240"/>
      <c r="K144" s="105"/>
      <c r="L144" s="207"/>
      <c r="M144" s="202"/>
      <c r="N144" s="66"/>
      <c r="O144" s="66"/>
    </row>
    <row r="145" spans="1:15" s="9" customFormat="1" ht="18.75" hidden="1" customHeight="1">
      <c r="A145" s="2" t="s">
        <v>195</v>
      </c>
      <c r="B145" s="1"/>
      <c r="C145" s="1381"/>
      <c r="D145" s="1170"/>
      <c r="E145" s="1225" t="str">
        <f>INDEX(PT_DIFFERENTIATION_VTAR,MATCH(A145,PT_DIFFERENTIATION_VTAR_ID,0))</f>
        <v>Тарифы на услуги по передаче тепловой энергии</v>
      </c>
      <c r="F145" s="1225" t="str">
        <f>INDEX(PT_DIFFERENTIATION_VDET,MATCH(A145,PT_DIFFERENTIATION_VTAR_ID,0))</f>
        <v/>
      </c>
      <c r="G145" s="37"/>
      <c r="H145" s="979"/>
      <c r="I145" s="1006"/>
      <c r="J145" s="227"/>
      <c r="K145" s="788" t="s">
        <v>308</v>
      </c>
      <c r="L145" s="207"/>
      <c r="M145" s="202"/>
      <c r="N145" s="66"/>
      <c r="O145" s="66"/>
    </row>
    <row r="146" spans="1:15" s="9" customFormat="1" ht="18.75" hidden="1" customHeight="1">
      <c r="A146" s="2"/>
      <c r="B146" s="1" t="s">
        <v>1684</v>
      </c>
      <c r="C146" s="1381"/>
      <c r="D146" s="1170"/>
      <c r="E146" s="1225"/>
      <c r="F146" s="1225"/>
      <c r="G146" s="239"/>
      <c r="H146" s="50" t="s">
        <v>1579</v>
      </c>
      <c r="I146" s="108"/>
      <c r="J146" s="240"/>
      <c r="K146" s="105"/>
      <c r="L146" s="207"/>
      <c r="M146" s="202"/>
      <c r="N146" s="66"/>
      <c r="O146" s="66"/>
    </row>
    <row r="147" spans="1:15" s="9" customFormat="1" ht="18.75" hidden="1" customHeight="1">
      <c r="A147" s="2" t="s">
        <v>201</v>
      </c>
      <c r="B147" s="1"/>
      <c r="C147" s="1381"/>
      <c r="D147" s="1170"/>
      <c r="E147" s="1225" t="str">
        <f>INDEX(PT_DIFFERENTIATION_VTAR,MATCH(A147,PT_DIFFERENTIATION_VTAR_ID,0))</f>
        <v>Тарифы на услуги по передаче теплоносителя</v>
      </c>
      <c r="F147" s="1225" t="str">
        <f>INDEX(PT_DIFFERENTIATION_VDET,MATCH(A147,PT_DIFFERENTIATION_VTAR_ID,0))</f>
        <v/>
      </c>
      <c r="G147" s="37"/>
      <c r="H147" s="979"/>
      <c r="I147" s="1006"/>
      <c r="J147" s="227"/>
      <c r="K147" s="788" t="s">
        <v>308</v>
      </c>
      <c r="L147" s="207"/>
      <c r="M147" s="202"/>
      <c r="N147" s="66"/>
      <c r="O147" s="66"/>
    </row>
    <row r="148" spans="1:15" s="9" customFormat="1" ht="18.75" hidden="1" customHeight="1">
      <c r="A148" s="2"/>
      <c r="B148" s="1" t="s">
        <v>1684</v>
      </c>
      <c r="C148" s="1381"/>
      <c r="D148" s="1170"/>
      <c r="E148" s="1225"/>
      <c r="F148" s="1225"/>
      <c r="G148" s="239"/>
      <c r="H148" s="50" t="s">
        <v>1579</v>
      </c>
      <c r="I148" s="108"/>
      <c r="J148" s="240"/>
      <c r="K148" s="105"/>
      <c r="L148" s="207"/>
      <c r="M148" s="202"/>
      <c r="N148" s="66"/>
      <c r="O148" s="66"/>
    </row>
    <row r="149" spans="1:15" s="9" customFormat="1" ht="18.75" hidden="1" customHeight="1">
      <c r="A149" s="2" t="s">
        <v>207</v>
      </c>
      <c r="B149" s="1"/>
      <c r="C149" s="1381"/>
      <c r="D149" s="1170"/>
      <c r="E149" s="122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1225" t="str">
        <f>INDEX(PT_DIFFERENTIATION_VDET,MATCH(A149,PT_DIFFERENTIATION_VTAR_ID,0))</f>
        <v/>
      </c>
      <c r="G149" s="37"/>
      <c r="H149" s="979"/>
      <c r="I149" s="1006"/>
      <c r="J149" s="227"/>
      <c r="K149" s="788" t="s">
        <v>308</v>
      </c>
      <c r="L149" s="207"/>
      <c r="M149" s="202"/>
      <c r="N149" s="66"/>
      <c r="O149" s="66"/>
    </row>
    <row r="150" spans="1:15" s="9" customFormat="1" ht="18.75" hidden="1" customHeight="1">
      <c r="A150" s="2"/>
      <c r="B150" s="1" t="s">
        <v>1684</v>
      </c>
      <c r="C150" s="1381"/>
      <c r="D150" s="1170"/>
      <c r="E150" s="1225"/>
      <c r="F150" s="1225"/>
      <c r="G150" s="239"/>
      <c r="H150" s="50" t="s">
        <v>1579</v>
      </c>
      <c r="I150" s="108"/>
      <c r="J150" s="240"/>
      <c r="K150" s="105"/>
      <c r="L150" s="207"/>
      <c r="M150" s="202"/>
      <c r="N150" s="66"/>
      <c r="O150" s="66"/>
    </row>
    <row r="151" spans="1:15" s="9" customFormat="1" ht="18.75" hidden="1" customHeight="1">
      <c r="A151" s="2" t="s">
        <v>213</v>
      </c>
      <c r="B151" s="1"/>
      <c r="C151" s="1381"/>
      <c r="D151" s="1170"/>
      <c r="E151" s="1225" t="str">
        <f>INDEX(PT_DIFFERENTIATION_VTAR,MATCH(A151,PT_DIFFERENTIATION_VTAR_ID,0))</f>
        <v>Плата за подключение (технологическое присоединение) к системе теплоснабжения</v>
      </c>
      <c r="F151" s="1225" t="str">
        <f>INDEX(PT_DIFFERENTIATION_VDET,MATCH(A151,PT_DIFFERENTIATION_VTAR_ID,0))</f>
        <v/>
      </c>
      <c r="G151" s="37"/>
      <c r="H151" s="979"/>
      <c r="I151" s="1006"/>
      <c r="J151" s="227"/>
      <c r="K151" s="788" t="s">
        <v>308</v>
      </c>
      <c r="L151" s="207"/>
      <c r="M151" s="202"/>
      <c r="N151" s="66"/>
      <c r="O151" s="66"/>
    </row>
    <row r="152" spans="1:15" s="9" customFormat="1" ht="18.75" hidden="1" customHeight="1">
      <c r="A152" s="2"/>
      <c r="B152" s="1" t="s">
        <v>1684</v>
      </c>
      <c r="C152" s="1381"/>
      <c r="D152" s="1170"/>
      <c r="E152" s="1225"/>
      <c r="F152" s="1225"/>
      <c r="G152" s="239"/>
      <c r="H152" s="50" t="s">
        <v>1579</v>
      </c>
      <c r="I152" s="108"/>
      <c r="J152" s="240"/>
      <c r="K152" s="105"/>
      <c r="L152" s="207"/>
      <c r="M152" s="202"/>
      <c r="N152" s="66"/>
      <c r="O152" s="66"/>
    </row>
    <row r="153" spans="1:15" s="9" customFormat="1" ht="18.75" hidden="1" customHeight="1">
      <c r="A153" s="2" t="s">
        <v>227</v>
      </c>
      <c r="B153" s="1"/>
      <c r="C153" s="1381"/>
      <c r="D153" s="1170"/>
      <c r="E153" s="1225" t="str">
        <f>INDEX(PT_DIFFERENTIATION_VTAR,MATCH(A153,PT_DIFFERENTIATION_VTAR_ID,0))</f>
        <v>Тариф на питьевую воду (питьевое водоснабжение)</v>
      </c>
      <c r="F153" s="1225" t="str">
        <f>INDEX(PT_DIFFERENTIATION_VDET,MATCH(A153,PT_DIFFERENTIATION_VTAR_ID,0))</f>
        <v/>
      </c>
      <c r="G153" s="37"/>
      <c r="H153" s="979"/>
      <c r="I153" s="1006"/>
      <c r="J153" s="227"/>
      <c r="K153" s="788" t="s">
        <v>308</v>
      </c>
      <c r="L153" s="207"/>
      <c r="M153" s="202"/>
      <c r="N153" s="66"/>
      <c r="O153" s="66"/>
    </row>
    <row r="154" spans="1:15" s="9" customFormat="1" ht="18.75" hidden="1" customHeight="1">
      <c r="A154" s="2"/>
      <c r="B154" s="1" t="s">
        <v>1684</v>
      </c>
      <c r="C154" s="1381"/>
      <c r="D154" s="1170"/>
      <c r="E154" s="1225"/>
      <c r="F154" s="1225"/>
      <c r="G154" s="239"/>
      <c r="H154" s="50" t="s">
        <v>1579</v>
      </c>
      <c r="I154" s="108"/>
      <c r="J154" s="240"/>
      <c r="K154" s="105"/>
      <c r="L154" s="207"/>
      <c r="M154" s="202"/>
      <c r="N154" s="66"/>
      <c r="O154" s="66"/>
    </row>
    <row r="155" spans="1:15" s="9" customFormat="1" ht="18.75" hidden="1" customHeight="1">
      <c r="A155" s="2" t="s">
        <v>232</v>
      </c>
      <c r="B155" s="1"/>
      <c r="C155" s="1381"/>
      <c r="D155" s="1170"/>
      <c r="E155" s="1225" t="str">
        <f>INDEX(PT_DIFFERENTIATION_VTAR,MATCH(A155,PT_DIFFERENTIATION_VTAR_ID,0))</f>
        <v>Тариф на техническую воду</v>
      </c>
      <c r="F155" s="1225" t="str">
        <f>INDEX(PT_DIFFERENTIATION_VDET,MATCH(A155,PT_DIFFERENTIATION_VTAR_ID,0))</f>
        <v/>
      </c>
      <c r="G155" s="37"/>
      <c r="H155" s="979"/>
      <c r="I155" s="1006"/>
      <c r="J155" s="227"/>
      <c r="K155" s="788" t="s">
        <v>308</v>
      </c>
      <c r="L155" s="207"/>
      <c r="M155" s="202"/>
      <c r="N155" s="66"/>
      <c r="O155" s="66"/>
    </row>
    <row r="156" spans="1:15" s="9" customFormat="1" ht="18.75" hidden="1" customHeight="1">
      <c r="A156" s="2"/>
      <c r="B156" s="1" t="s">
        <v>1684</v>
      </c>
      <c r="C156" s="1381"/>
      <c r="D156" s="1170"/>
      <c r="E156" s="1225"/>
      <c r="F156" s="1225"/>
      <c r="G156" s="239"/>
      <c r="H156" s="50" t="s">
        <v>1579</v>
      </c>
      <c r="I156" s="108"/>
      <c r="J156" s="240"/>
      <c r="K156" s="105"/>
      <c r="L156" s="207"/>
      <c r="M156" s="202"/>
      <c r="N156" s="66"/>
      <c r="O156" s="66"/>
    </row>
    <row r="157" spans="1:15" s="9" customFormat="1" ht="18.75" hidden="1" customHeight="1">
      <c r="A157" s="2" t="s">
        <v>237</v>
      </c>
      <c r="B157" s="1"/>
      <c r="C157" s="1381"/>
      <c r="D157" s="1170"/>
      <c r="E157" s="1225" t="str">
        <f>INDEX(PT_DIFFERENTIATION_VTAR,MATCH(A157,PT_DIFFERENTIATION_VTAR_ID,0))</f>
        <v>Тариф на транспортировку воды</v>
      </c>
      <c r="F157" s="1225" t="str">
        <f>INDEX(PT_DIFFERENTIATION_VDET,MATCH(A157,PT_DIFFERENTIATION_VTAR_ID,0))</f>
        <v/>
      </c>
      <c r="G157" s="37"/>
      <c r="H157" s="979"/>
      <c r="I157" s="1006"/>
      <c r="J157" s="227"/>
      <c r="K157" s="788" t="s">
        <v>308</v>
      </c>
      <c r="L157" s="207"/>
      <c r="M157" s="202"/>
      <c r="N157" s="66"/>
      <c r="O157" s="66"/>
    </row>
    <row r="158" spans="1:15" s="9" customFormat="1" ht="18.75" hidden="1" customHeight="1">
      <c r="A158" s="2"/>
      <c r="B158" s="1" t="s">
        <v>1684</v>
      </c>
      <c r="C158" s="1381"/>
      <c r="D158" s="1170"/>
      <c r="E158" s="1225"/>
      <c r="F158" s="1225"/>
      <c r="G158" s="239"/>
      <c r="H158" s="50" t="s">
        <v>1579</v>
      </c>
      <c r="I158" s="108"/>
      <c r="J158" s="240"/>
      <c r="K158" s="105"/>
      <c r="L158" s="207"/>
      <c r="M158" s="202"/>
      <c r="N158" s="66"/>
      <c r="O158" s="66"/>
    </row>
    <row r="159" spans="1:15" s="9" customFormat="1" ht="18.75" hidden="1" customHeight="1">
      <c r="A159" s="2" t="s">
        <v>242</v>
      </c>
      <c r="B159" s="1"/>
      <c r="C159" s="1381"/>
      <c r="D159" s="1170"/>
      <c r="E159" s="1225" t="str">
        <f>INDEX(PT_DIFFERENTIATION_VTAR,MATCH(A159,PT_DIFFERENTIATION_VTAR_ID,0))</f>
        <v>Тариф на подвоз воды</v>
      </c>
      <c r="F159" s="1225" t="str">
        <f>INDEX(PT_DIFFERENTIATION_VDET,MATCH(A159,PT_DIFFERENTIATION_VTAR_ID,0))</f>
        <v/>
      </c>
      <c r="G159" s="37"/>
      <c r="H159" s="979"/>
      <c r="I159" s="1006"/>
      <c r="J159" s="227"/>
      <c r="K159" s="788" t="s">
        <v>308</v>
      </c>
      <c r="L159" s="207"/>
      <c r="M159" s="202"/>
      <c r="N159" s="66"/>
      <c r="O159" s="66"/>
    </row>
    <row r="160" spans="1:15" s="9" customFormat="1" ht="18.75" hidden="1" customHeight="1">
      <c r="A160" s="2"/>
      <c r="B160" s="1" t="s">
        <v>1684</v>
      </c>
      <c r="C160" s="1381"/>
      <c r="D160" s="1170"/>
      <c r="E160" s="1225"/>
      <c r="F160" s="1225"/>
      <c r="G160" s="239"/>
      <c r="H160" s="50" t="s">
        <v>1579</v>
      </c>
      <c r="I160" s="108"/>
      <c r="J160" s="240"/>
      <c r="K160" s="105"/>
      <c r="L160" s="207"/>
      <c r="M160" s="202"/>
      <c r="N160" s="66"/>
      <c r="O160" s="66"/>
    </row>
    <row r="161" spans="1:15" s="9" customFormat="1" ht="18.75" hidden="1" customHeight="1">
      <c r="A161" s="2" t="s">
        <v>247</v>
      </c>
      <c r="B161" s="1"/>
      <c r="C161" s="1381"/>
      <c r="D161" s="1170"/>
      <c r="E161" s="122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1225" t="str">
        <f>INDEX(PT_DIFFERENTIATION_VDET,MATCH(A161,PT_DIFFERENTIATION_VTAR_ID,0))</f>
        <v/>
      </c>
      <c r="G161" s="37"/>
      <c r="H161" s="979"/>
      <c r="I161" s="1006"/>
      <c r="J161" s="227"/>
      <c r="K161" s="788" t="s">
        <v>308</v>
      </c>
      <c r="L161" s="207"/>
      <c r="M161" s="202"/>
      <c r="N161" s="66"/>
      <c r="O161" s="66"/>
    </row>
    <row r="162" spans="1:15" s="9" customFormat="1" ht="18.75" hidden="1" customHeight="1">
      <c r="A162" s="2"/>
      <c r="B162" s="1" t="s">
        <v>1684</v>
      </c>
      <c r="C162" s="1381"/>
      <c r="D162" s="1170"/>
      <c r="E162" s="1225"/>
      <c r="F162" s="1225"/>
      <c r="G162" s="239"/>
      <c r="H162" s="50" t="s">
        <v>1579</v>
      </c>
      <c r="I162" s="108"/>
      <c r="J162" s="240"/>
      <c r="K162" s="105"/>
      <c r="L162" s="207"/>
      <c r="M162" s="202"/>
      <c r="N162" s="66"/>
      <c r="O162" s="66"/>
    </row>
    <row r="163" spans="1:15" s="9" customFormat="1" ht="18.75" hidden="1" customHeight="1">
      <c r="A163" s="2" t="s">
        <v>252</v>
      </c>
      <c r="B163" s="1"/>
      <c r="C163" s="1381"/>
      <c r="D163" s="1170"/>
      <c r="E163" s="1225" t="str">
        <f>INDEX(PT_DIFFERENTIATION_VTAR,MATCH(A163,PT_DIFFERENTIATION_VTAR_ID,0))</f>
        <v>Тариф на горячую воду (горячее водоснабжение)</v>
      </c>
      <c r="F163" s="1225" t="str">
        <f>INDEX(PT_DIFFERENTIATION_VDET,MATCH(A163,PT_DIFFERENTIATION_VTAR_ID,0))</f>
        <v/>
      </c>
      <c r="G163" s="37"/>
      <c r="H163" s="979"/>
      <c r="I163" s="1006"/>
      <c r="J163" s="227"/>
      <c r="K163" s="788" t="s">
        <v>308</v>
      </c>
      <c r="L163" s="207"/>
      <c r="M163" s="202"/>
      <c r="N163" s="66"/>
      <c r="O163" s="66"/>
    </row>
    <row r="164" spans="1:15" s="9" customFormat="1" ht="18.75" hidden="1" customHeight="1">
      <c r="A164" s="2"/>
      <c r="B164" s="1" t="s">
        <v>1684</v>
      </c>
      <c r="C164" s="1381"/>
      <c r="D164" s="1170"/>
      <c r="E164" s="1225"/>
      <c r="F164" s="1225"/>
      <c r="G164" s="239"/>
      <c r="H164" s="50" t="s">
        <v>1579</v>
      </c>
      <c r="I164" s="108"/>
      <c r="J164" s="240"/>
      <c r="K164" s="105"/>
      <c r="L164" s="207"/>
      <c r="M164" s="202"/>
      <c r="N164" s="66"/>
      <c r="O164" s="66"/>
    </row>
    <row r="165" spans="1:15" s="9" customFormat="1" ht="18.75" hidden="1" customHeight="1">
      <c r="A165" s="2" t="s">
        <v>257</v>
      </c>
      <c r="B165" s="1"/>
      <c r="C165" s="1381"/>
      <c r="D165" s="1170"/>
      <c r="E165" s="1225" t="str">
        <f>INDEX(PT_DIFFERENTIATION_VTAR,MATCH(A165,PT_DIFFERENTIATION_VTAR_ID,0))</f>
        <v>Тариф на транспортировку горячей воды</v>
      </c>
      <c r="F165" s="1225" t="str">
        <f>INDEX(PT_DIFFERENTIATION_VDET,MATCH(A165,PT_DIFFERENTIATION_VTAR_ID,0))</f>
        <v/>
      </c>
      <c r="G165" s="37"/>
      <c r="H165" s="979"/>
      <c r="I165" s="1006"/>
      <c r="J165" s="227"/>
      <c r="K165" s="788" t="s">
        <v>308</v>
      </c>
      <c r="L165" s="207"/>
      <c r="M165" s="202"/>
      <c r="N165" s="66"/>
      <c r="O165" s="66"/>
    </row>
    <row r="166" spans="1:15" s="9" customFormat="1" ht="18.75" hidden="1" customHeight="1">
      <c r="A166" s="2"/>
      <c r="B166" s="1" t="s">
        <v>1684</v>
      </c>
      <c r="C166" s="1381"/>
      <c r="D166" s="1170"/>
      <c r="E166" s="1225"/>
      <c r="F166" s="1225"/>
      <c r="G166" s="239"/>
      <c r="H166" s="50" t="s">
        <v>1579</v>
      </c>
      <c r="I166" s="108"/>
      <c r="J166" s="240"/>
      <c r="K166" s="105"/>
      <c r="L166" s="207"/>
      <c r="M166" s="202"/>
      <c r="N166" s="66"/>
      <c r="O166" s="66"/>
    </row>
    <row r="167" spans="1:15" s="9" customFormat="1" ht="18.75" hidden="1" customHeight="1">
      <c r="A167" s="2" t="s">
        <v>262</v>
      </c>
      <c r="B167" s="1"/>
      <c r="C167" s="1381"/>
      <c r="D167" s="1170"/>
      <c r="E167" s="1225" t="str">
        <f>INDEX(PT_DIFFERENTIATION_VTAR,MATCH(A167,PT_DIFFERENTIATION_VTAR_ID,0))</f>
        <v>Тариф на подключение (технологическое присоединение) к централизованной системе горячего водоснабжения</v>
      </c>
      <c r="F167" s="1225" t="str">
        <f>INDEX(PT_DIFFERENTIATION_VDET,MATCH(A167,PT_DIFFERENTIATION_VTAR_ID,0))</f>
        <v/>
      </c>
      <c r="G167" s="37"/>
      <c r="H167" s="979"/>
      <c r="I167" s="1006"/>
      <c r="J167" s="227"/>
      <c r="K167" s="788" t="s">
        <v>308</v>
      </c>
      <c r="L167" s="207"/>
      <c r="M167" s="202"/>
      <c r="N167" s="66"/>
      <c r="O167" s="66"/>
    </row>
    <row r="168" spans="1:15" s="9" customFormat="1" ht="18.75" hidden="1" customHeight="1">
      <c r="A168" s="2"/>
      <c r="B168" s="1" t="s">
        <v>1684</v>
      </c>
      <c r="C168" s="1381"/>
      <c r="D168" s="1170"/>
      <c r="E168" s="1225"/>
      <c r="F168" s="1225"/>
      <c r="G168" s="239"/>
      <c r="H168" s="50" t="s">
        <v>1579</v>
      </c>
      <c r="I168" s="108"/>
      <c r="J168" s="240"/>
      <c r="K168" s="105"/>
      <c r="L168" s="207"/>
      <c r="M168" s="202"/>
      <c r="N168" s="66"/>
      <c r="O168" s="66"/>
    </row>
    <row r="169" spans="1:15" s="9" customFormat="1" ht="18.75" hidden="1" customHeight="1">
      <c r="A169" s="2" t="s">
        <v>267</v>
      </c>
      <c r="B169" s="1"/>
      <c r="C169" s="1381"/>
      <c r="D169" s="1170"/>
      <c r="E169" s="1225" t="str">
        <f>INDEX(PT_DIFFERENTIATION_VTAR,MATCH(A169,PT_DIFFERENTIATION_VTAR_ID,0))</f>
        <v>Тариф на водоотведение</v>
      </c>
      <c r="F169" s="1225" t="str">
        <f>INDEX(PT_DIFFERENTIATION_VDET,MATCH(A169,PT_DIFFERENTIATION_VTAR_ID,0))</f>
        <v/>
      </c>
      <c r="G169" s="37"/>
      <c r="H169" s="979"/>
      <c r="I169" s="1006"/>
      <c r="J169" s="227"/>
      <c r="K169" s="788" t="s">
        <v>308</v>
      </c>
      <c r="L169" s="207"/>
      <c r="M169" s="202"/>
      <c r="N169" s="66"/>
      <c r="O169" s="66"/>
    </row>
    <row r="170" spans="1:15" s="9" customFormat="1" ht="18.75" hidden="1" customHeight="1">
      <c r="A170" s="2"/>
      <c r="B170" s="1" t="s">
        <v>1684</v>
      </c>
      <c r="C170" s="1381"/>
      <c r="D170" s="1170"/>
      <c r="E170" s="1225"/>
      <c r="F170" s="1225"/>
      <c r="G170" s="239"/>
      <c r="H170" s="50" t="s">
        <v>1579</v>
      </c>
      <c r="I170" s="108"/>
      <c r="J170" s="240"/>
      <c r="K170" s="105"/>
      <c r="L170" s="207"/>
      <c r="M170" s="202"/>
      <c r="N170" s="66"/>
      <c r="O170" s="66"/>
    </row>
    <row r="171" spans="1:15" s="9" customFormat="1" ht="18.75" hidden="1" customHeight="1">
      <c r="A171" s="2" t="s">
        <v>272</v>
      </c>
      <c r="B171" s="1"/>
      <c r="C171" s="1381"/>
      <c r="D171" s="1170"/>
      <c r="E171" s="1225" t="str">
        <f>INDEX(PT_DIFFERENTIATION_VTAR,MATCH(A171,PT_DIFFERENTIATION_VTAR_ID,0))</f>
        <v>Тариф на транспортировку сточных вод</v>
      </c>
      <c r="F171" s="1225" t="str">
        <f>INDEX(PT_DIFFERENTIATION_VDET,MATCH(A171,PT_DIFFERENTIATION_VTAR_ID,0))</f>
        <v/>
      </c>
      <c r="G171" s="37"/>
      <c r="H171" s="979"/>
      <c r="I171" s="1006"/>
      <c r="J171" s="227"/>
      <c r="K171" s="788" t="s">
        <v>308</v>
      </c>
      <c r="L171" s="207"/>
      <c r="M171" s="202"/>
      <c r="N171" s="66"/>
      <c r="O171" s="66"/>
    </row>
    <row r="172" spans="1:15" s="9" customFormat="1" ht="18.75" hidden="1" customHeight="1">
      <c r="A172" s="2"/>
      <c r="B172" s="1" t="s">
        <v>1684</v>
      </c>
      <c r="C172" s="1381"/>
      <c r="D172" s="1170"/>
      <c r="E172" s="1225"/>
      <c r="F172" s="1225"/>
      <c r="G172" s="239"/>
      <c r="H172" s="50" t="s">
        <v>1579</v>
      </c>
      <c r="I172" s="108"/>
      <c r="J172" s="240"/>
      <c r="K172" s="105"/>
      <c r="L172" s="207"/>
      <c r="M172" s="202"/>
      <c r="N172" s="66"/>
      <c r="O172" s="66"/>
    </row>
    <row r="173" spans="1:15" s="9" customFormat="1" ht="18.75" hidden="1" customHeight="1">
      <c r="A173" s="2" t="s">
        <v>277</v>
      </c>
      <c r="B173" s="1"/>
      <c r="C173" s="1381"/>
      <c r="D173" s="1170"/>
      <c r="E173" s="1225" t="str">
        <f>INDEX(PT_DIFFERENTIATION_VTAR,MATCH(A173,PT_DIFFERENTIATION_VTAR_ID,0))</f>
        <v>Тариф на подключение (технологическое присоединение) к централизованной системе водоотведения</v>
      </c>
      <c r="F173" s="1225" t="str">
        <f>INDEX(PT_DIFFERENTIATION_VDET,MATCH(A173,PT_DIFFERENTIATION_VTAR_ID,0))</f>
        <v/>
      </c>
      <c r="G173" s="37"/>
      <c r="H173" s="979"/>
      <c r="I173" s="1006"/>
      <c r="J173" s="227"/>
      <c r="K173" s="788" t="s">
        <v>308</v>
      </c>
      <c r="L173" s="207"/>
      <c r="M173" s="202"/>
      <c r="N173" s="66"/>
      <c r="O173" s="66"/>
    </row>
    <row r="174" spans="1:15" s="9" customFormat="1" ht="18.75" hidden="1" customHeight="1">
      <c r="A174" s="2"/>
      <c r="B174" s="1" t="s">
        <v>1684</v>
      </c>
      <c r="C174" s="1381"/>
      <c r="D174" s="1170"/>
      <c r="E174" s="1225"/>
      <c r="F174" s="1225"/>
      <c r="G174" s="239"/>
      <c r="H174" s="50" t="s">
        <v>1579</v>
      </c>
      <c r="I174" s="108"/>
      <c r="J174" s="240"/>
      <c r="K174" s="105"/>
      <c r="L174" s="207"/>
      <c r="M174" s="202"/>
      <c r="N174" s="66"/>
      <c r="O174" s="66"/>
    </row>
    <row r="175" spans="1:15" ht="25.5" customHeight="1">
      <c r="A175" s="2"/>
      <c r="C175" s="27"/>
      <c r="D175" s="61" t="s">
        <v>92</v>
      </c>
      <c r="E175" s="1371"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1371"/>
      <c r="G175" s="1371"/>
      <c r="H175" s="1371"/>
      <c r="I175" s="1371"/>
      <c r="J175" s="1371"/>
      <c r="K175" s="1371"/>
      <c r="L175" s="111"/>
      <c r="M175" s="202"/>
    </row>
    <row r="176" spans="1:15" s="9" customFormat="1" ht="56.25" hidden="1" customHeight="1">
      <c r="A176" s="2" t="s">
        <v>171</v>
      </c>
      <c r="B176" s="1"/>
      <c r="C176" s="1381"/>
      <c r="D176" s="1170"/>
      <c r="E176" s="122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1225" t="str">
        <f>INDEX(PT_DIFFERENTIATION_VDET,MATCH(A176,PT_DIFFERENTIATION_VTAR_ID,0))</f>
        <v/>
      </c>
      <c r="G176" s="37"/>
      <c r="H176" s="979"/>
      <c r="I176" s="1006"/>
      <c r="J176" s="227"/>
      <c r="K176" s="788" t="s">
        <v>308</v>
      </c>
      <c r="L176" s="11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02"/>
      <c r="N176" s="66"/>
      <c r="O176" s="66"/>
    </row>
    <row r="177" spans="1:15" s="9" customFormat="1" ht="18.75" hidden="1" customHeight="1">
      <c r="A177" s="2"/>
      <c r="B177" s="1" t="s">
        <v>1684</v>
      </c>
      <c r="C177" s="1381"/>
      <c r="D177" s="1170"/>
      <c r="E177" s="1225"/>
      <c r="F177" s="1225"/>
      <c r="G177" s="239"/>
      <c r="H177" s="50" t="s">
        <v>1579</v>
      </c>
      <c r="I177" s="108"/>
      <c r="J177" s="240"/>
      <c r="K177" s="105"/>
      <c r="L177" s="1136"/>
      <c r="M177" s="202"/>
      <c r="N177" s="66"/>
      <c r="O177" s="66"/>
    </row>
    <row r="178" spans="1:15" s="9" customFormat="1" ht="26.25" hidden="1" customHeight="1">
      <c r="A178" s="2" t="s">
        <v>177</v>
      </c>
      <c r="B178" s="1"/>
      <c r="C178" s="1381"/>
      <c r="D178" s="1170"/>
      <c r="E178" s="122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1225" t="str">
        <f>INDEX(PT_DIFFERENTIATION_VDET,MATCH(A178,PT_DIFFERENTIATION_VTAR_ID,0))</f>
        <v/>
      </c>
      <c r="G178" s="37"/>
      <c r="H178" s="979"/>
      <c r="I178" s="1006"/>
      <c r="J178" s="227"/>
      <c r="K178" s="788" t="s">
        <v>308</v>
      </c>
      <c r="L178" s="1137"/>
      <c r="M178" s="202"/>
      <c r="N178" s="66"/>
      <c r="O178" s="66"/>
    </row>
    <row r="179" spans="1:15" s="9" customFormat="1" ht="18.75" hidden="1" customHeight="1">
      <c r="A179" s="2"/>
      <c r="B179" s="1" t="s">
        <v>1684</v>
      </c>
      <c r="C179" s="1381"/>
      <c r="D179" s="1170"/>
      <c r="E179" s="1225"/>
      <c r="F179" s="1225"/>
      <c r="G179" s="239"/>
      <c r="H179" s="50" t="s">
        <v>1579</v>
      </c>
      <c r="I179" s="108"/>
      <c r="J179" s="240"/>
      <c r="K179" s="105"/>
      <c r="L179" s="207"/>
      <c r="M179" s="202"/>
      <c r="N179" s="66"/>
      <c r="O179" s="66"/>
    </row>
    <row r="180" spans="1:15" s="9" customFormat="1" ht="18.75" hidden="1" customHeight="1">
      <c r="A180" s="2" t="s">
        <v>183</v>
      </c>
      <c r="B180" s="1"/>
      <c r="C180" s="1381"/>
      <c r="D180" s="1170"/>
      <c r="E180" s="122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1225" t="str">
        <f>INDEX(PT_DIFFERENTIATION_VDET,MATCH(A180,PT_DIFFERENTIATION_VTAR_ID,0))</f>
        <v/>
      </c>
      <c r="G180" s="37"/>
      <c r="H180" s="979"/>
      <c r="I180" s="1006"/>
      <c r="J180" s="227"/>
      <c r="K180" s="788" t="s">
        <v>308</v>
      </c>
      <c r="L180" s="207"/>
      <c r="M180" s="202"/>
      <c r="N180" s="66"/>
      <c r="O180" s="66"/>
    </row>
    <row r="181" spans="1:15" s="9" customFormat="1" ht="18.75" hidden="1" customHeight="1">
      <c r="A181" s="2"/>
      <c r="B181" s="1" t="s">
        <v>1684</v>
      </c>
      <c r="C181" s="1381"/>
      <c r="D181" s="1170"/>
      <c r="E181" s="1225"/>
      <c r="F181" s="1225"/>
      <c r="G181" s="239"/>
      <c r="H181" s="50" t="s">
        <v>1579</v>
      </c>
      <c r="I181" s="108"/>
      <c r="J181" s="240"/>
      <c r="K181" s="105"/>
      <c r="L181" s="207"/>
      <c r="M181" s="202"/>
      <c r="N181" s="66"/>
      <c r="O181" s="66"/>
    </row>
    <row r="182" spans="1:15" s="9" customFormat="1" ht="41.25" hidden="1" customHeight="1">
      <c r="A182" s="2" t="s">
        <v>189</v>
      </c>
      <c r="B182" s="1"/>
      <c r="C182" s="1381"/>
      <c r="D182" s="1170"/>
      <c r="E182" s="122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1225" t="str">
        <f>INDEX(PT_DIFFERENTIATION_VDET,MATCH(A182,PT_DIFFERENTIATION_VTAR_ID,0))</f>
        <v/>
      </c>
      <c r="G182" s="37"/>
      <c r="H182" s="979"/>
      <c r="I182" s="1006"/>
      <c r="J182" s="227"/>
      <c r="K182" s="788" t="s">
        <v>308</v>
      </c>
      <c r="L182" s="207"/>
      <c r="M182" s="202"/>
      <c r="N182" s="66"/>
      <c r="O182" s="66"/>
    </row>
    <row r="183" spans="1:15" s="9" customFormat="1" ht="18.75" hidden="1" customHeight="1">
      <c r="A183" s="2"/>
      <c r="B183" s="1" t="s">
        <v>1684</v>
      </c>
      <c r="C183" s="1381"/>
      <c r="D183" s="1170"/>
      <c r="E183" s="1225"/>
      <c r="F183" s="1225"/>
      <c r="G183" s="239"/>
      <c r="H183" s="50" t="s">
        <v>1579</v>
      </c>
      <c r="I183" s="108"/>
      <c r="J183" s="240"/>
      <c r="K183" s="105"/>
      <c r="L183" s="207"/>
      <c r="M183" s="202"/>
      <c r="N183" s="66"/>
      <c r="O183" s="66"/>
    </row>
    <row r="184" spans="1:15" s="9" customFormat="1" ht="18.75" hidden="1" customHeight="1">
      <c r="A184" s="2" t="s">
        <v>195</v>
      </c>
      <c r="B184" s="1"/>
      <c r="C184" s="1381"/>
      <c r="D184" s="1170"/>
      <c r="E184" s="1225" t="str">
        <f>INDEX(PT_DIFFERENTIATION_VTAR,MATCH(A184,PT_DIFFERENTIATION_VTAR_ID,0))</f>
        <v>Тарифы на услуги по передаче тепловой энергии</v>
      </c>
      <c r="F184" s="1225" t="str">
        <f>INDEX(PT_DIFFERENTIATION_VDET,MATCH(A184,PT_DIFFERENTIATION_VTAR_ID,0))</f>
        <v/>
      </c>
      <c r="G184" s="37"/>
      <c r="H184" s="979"/>
      <c r="I184" s="1006"/>
      <c r="J184" s="227"/>
      <c r="K184" s="788" t="s">
        <v>308</v>
      </c>
      <c r="L184" s="207"/>
      <c r="M184" s="202"/>
      <c r="N184" s="66"/>
      <c r="O184" s="66"/>
    </row>
    <row r="185" spans="1:15" s="9" customFormat="1" ht="18.75" hidden="1" customHeight="1">
      <c r="A185" s="2"/>
      <c r="B185" s="1" t="s">
        <v>1684</v>
      </c>
      <c r="C185" s="1381"/>
      <c r="D185" s="1170"/>
      <c r="E185" s="1225"/>
      <c r="F185" s="1225"/>
      <c r="G185" s="239"/>
      <c r="H185" s="50" t="s">
        <v>1579</v>
      </c>
      <c r="I185" s="108"/>
      <c r="J185" s="240"/>
      <c r="K185" s="105"/>
      <c r="L185" s="207"/>
      <c r="M185" s="202"/>
      <c r="N185" s="66"/>
      <c r="O185" s="66"/>
    </row>
    <row r="186" spans="1:15" s="9" customFormat="1" ht="18.75" hidden="1" customHeight="1">
      <c r="A186" s="2" t="s">
        <v>201</v>
      </c>
      <c r="B186" s="1"/>
      <c r="C186" s="1381"/>
      <c r="D186" s="1170"/>
      <c r="E186" s="1225" t="str">
        <f>INDEX(PT_DIFFERENTIATION_VTAR,MATCH(A186,PT_DIFFERENTIATION_VTAR_ID,0))</f>
        <v>Тарифы на услуги по передаче теплоносителя</v>
      </c>
      <c r="F186" s="1225" t="str">
        <f>INDEX(PT_DIFFERENTIATION_VDET,MATCH(A186,PT_DIFFERENTIATION_VTAR_ID,0))</f>
        <v/>
      </c>
      <c r="G186" s="37"/>
      <c r="H186" s="979"/>
      <c r="I186" s="1006"/>
      <c r="J186" s="227"/>
      <c r="K186" s="788" t="s">
        <v>308</v>
      </c>
      <c r="L186" s="207"/>
      <c r="M186" s="202"/>
      <c r="N186" s="66"/>
      <c r="O186" s="66"/>
    </row>
    <row r="187" spans="1:15" s="9" customFormat="1" ht="18.75" hidden="1" customHeight="1">
      <c r="A187" s="2"/>
      <c r="B187" s="1" t="s">
        <v>1684</v>
      </c>
      <c r="C187" s="1381"/>
      <c r="D187" s="1170"/>
      <c r="E187" s="1225"/>
      <c r="F187" s="1225"/>
      <c r="G187" s="239"/>
      <c r="H187" s="50" t="s">
        <v>1579</v>
      </c>
      <c r="I187" s="108"/>
      <c r="J187" s="240"/>
      <c r="K187" s="105"/>
      <c r="L187" s="207"/>
      <c r="M187" s="202"/>
      <c r="N187" s="66"/>
      <c r="O187" s="66"/>
    </row>
    <row r="188" spans="1:15" s="9" customFormat="1" ht="18.75" hidden="1" customHeight="1">
      <c r="A188" s="2" t="s">
        <v>207</v>
      </c>
      <c r="B188" s="1"/>
      <c r="C188" s="1381"/>
      <c r="D188" s="1170"/>
      <c r="E188" s="122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1225" t="str">
        <f>INDEX(PT_DIFFERENTIATION_VDET,MATCH(A188,PT_DIFFERENTIATION_VTAR_ID,0))</f>
        <v/>
      </c>
      <c r="G188" s="37"/>
      <c r="H188" s="979"/>
      <c r="I188" s="1006"/>
      <c r="J188" s="227"/>
      <c r="K188" s="788" t="s">
        <v>308</v>
      </c>
      <c r="L188" s="207"/>
      <c r="M188" s="202"/>
      <c r="N188" s="66"/>
      <c r="O188" s="66"/>
    </row>
    <row r="189" spans="1:15" s="9" customFormat="1" ht="18.75" hidden="1" customHeight="1">
      <c r="A189" s="2"/>
      <c r="B189" s="1" t="s">
        <v>1684</v>
      </c>
      <c r="C189" s="1381"/>
      <c r="D189" s="1170"/>
      <c r="E189" s="1225"/>
      <c r="F189" s="1225"/>
      <c r="G189" s="239"/>
      <c r="H189" s="50" t="s">
        <v>1579</v>
      </c>
      <c r="I189" s="108"/>
      <c r="J189" s="240"/>
      <c r="K189" s="105"/>
      <c r="L189" s="207"/>
      <c r="M189" s="202"/>
      <c r="N189" s="66"/>
      <c r="O189" s="66"/>
    </row>
    <row r="190" spans="1:15" s="9" customFormat="1" ht="18.75" hidden="1" customHeight="1">
      <c r="A190" s="2" t="s">
        <v>213</v>
      </c>
      <c r="B190" s="1"/>
      <c r="C190" s="1381"/>
      <c r="D190" s="1170"/>
      <c r="E190" s="1225" t="str">
        <f>INDEX(PT_DIFFERENTIATION_VTAR,MATCH(A190,PT_DIFFERENTIATION_VTAR_ID,0))</f>
        <v>Плата за подключение (технологическое присоединение) к системе теплоснабжения</v>
      </c>
      <c r="F190" s="1225" t="str">
        <f>INDEX(PT_DIFFERENTIATION_VDET,MATCH(A190,PT_DIFFERENTIATION_VTAR_ID,0))</f>
        <v/>
      </c>
      <c r="G190" s="37"/>
      <c r="H190" s="979"/>
      <c r="I190" s="1006"/>
      <c r="J190" s="227"/>
      <c r="K190" s="788" t="s">
        <v>308</v>
      </c>
      <c r="L190" s="207"/>
      <c r="M190" s="202"/>
      <c r="N190" s="66"/>
      <c r="O190" s="66"/>
    </row>
    <row r="191" spans="1:15" s="9" customFormat="1" ht="18.75" hidden="1" customHeight="1">
      <c r="A191" s="2"/>
      <c r="B191" s="1" t="s">
        <v>1684</v>
      </c>
      <c r="C191" s="1381"/>
      <c r="D191" s="1170"/>
      <c r="E191" s="1225"/>
      <c r="F191" s="1225"/>
      <c r="G191" s="239"/>
      <c r="H191" s="50" t="s">
        <v>1579</v>
      </c>
      <c r="I191" s="108"/>
      <c r="J191" s="240"/>
      <c r="K191" s="105"/>
      <c r="L191" s="207"/>
      <c r="M191" s="202"/>
      <c r="N191" s="66"/>
      <c r="O191" s="66"/>
    </row>
    <row r="192" spans="1:15" s="9" customFormat="1" ht="18.75" hidden="1" customHeight="1">
      <c r="A192" s="2" t="s">
        <v>227</v>
      </c>
      <c r="B192" s="1"/>
      <c r="C192" s="1381"/>
      <c r="D192" s="1170"/>
      <c r="E192" s="1225" t="str">
        <f>INDEX(PT_DIFFERENTIATION_VTAR,MATCH(A192,PT_DIFFERENTIATION_VTAR_ID,0))</f>
        <v>Тариф на питьевую воду (питьевое водоснабжение)</v>
      </c>
      <c r="F192" s="1225" t="str">
        <f>INDEX(PT_DIFFERENTIATION_VDET,MATCH(A192,PT_DIFFERENTIATION_VTAR_ID,0))</f>
        <v/>
      </c>
      <c r="G192" s="37"/>
      <c r="H192" s="979"/>
      <c r="I192" s="1006"/>
      <c r="J192" s="227"/>
      <c r="K192" s="788" t="s">
        <v>308</v>
      </c>
      <c r="L192" s="207"/>
      <c r="M192" s="202"/>
      <c r="N192" s="66"/>
      <c r="O192" s="66"/>
    </row>
    <row r="193" spans="1:15" s="9" customFormat="1" ht="18.75" hidden="1" customHeight="1">
      <c r="A193" s="2"/>
      <c r="B193" s="1" t="s">
        <v>1684</v>
      </c>
      <c r="C193" s="1381"/>
      <c r="D193" s="1170"/>
      <c r="E193" s="1225"/>
      <c r="F193" s="1225"/>
      <c r="G193" s="239"/>
      <c r="H193" s="50" t="s">
        <v>1579</v>
      </c>
      <c r="I193" s="108"/>
      <c r="J193" s="240"/>
      <c r="K193" s="105"/>
      <c r="L193" s="207"/>
      <c r="M193" s="202"/>
      <c r="N193" s="66"/>
      <c r="O193" s="66"/>
    </row>
    <row r="194" spans="1:15" s="9" customFormat="1" ht="18.75" hidden="1" customHeight="1">
      <c r="A194" s="2" t="s">
        <v>232</v>
      </c>
      <c r="B194" s="1"/>
      <c r="C194" s="1381"/>
      <c r="D194" s="1170"/>
      <c r="E194" s="1225" t="str">
        <f>INDEX(PT_DIFFERENTIATION_VTAR,MATCH(A194,PT_DIFFERENTIATION_VTAR_ID,0))</f>
        <v>Тариф на техническую воду</v>
      </c>
      <c r="F194" s="1225" t="str">
        <f>INDEX(PT_DIFFERENTIATION_VDET,MATCH(A194,PT_DIFFERENTIATION_VTAR_ID,0))</f>
        <v/>
      </c>
      <c r="G194" s="37"/>
      <c r="H194" s="979"/>
      <c r="I194" s="1006"/>
      <c r="J194" s="227"/>
      <c r="K194" s="788" t="s">
        <v>308</v>
      </c>
      <c r="L194" s="207"/>
      <c r="M194" s="202"/>
      <c r="N194" s="66"/>
      <c r="O194" s="66"/>
    </row>
    <row r="195" spans="1:15" s="9" customFormat="1" ht="18.75" hidden="1" customHeight="1">
      <c r="A195" s="2"/>
      <c r="B195" s="1" t="s">
        <v>1684</v>
      </c>
      <c r="C195" s="1381"/>
      <c r="D195" s="1170"/>
      <c r="E195" s="1225"/>
      <c r="F195" s="1225"/>
      <c r="G195" s="239"/>
      <c r="H195" s="50" t="s">
        <v>1579</v>
      </c>
      <c r="I195" s="108"/>
      <c r="J195" s="240"/>
      <c r="K195" s="105"/>
      <c r="L195" s="207"/>
      <c r="M195" s="202"/>
      <c r="N195" s="66"/>
      <c r="O195" s="66"/>
    </row>
    <row r="196" spans="1:15" s="9" customFormat="1" ht="18.75" hidden="1" customHeight="1">
      <c r="A196" s="2" t="s">
        <v>237</v>
      </c>
      <c r="B196" s="1"/>
      <c r="C196" s="1381"/>
      <c r="D196" s="1170"/>
      <c r="E196" s="1225" t="str">
        <f>INDEX(PT_DIFFERENTIATION_VTAR,MATCH(A196,PT_DIFFERENTIATION_VTAR_ID,0))</f>
        <v>Тариф на транспортировку воды</v>
      </c>
      <c r="F196" s="1225" t="str">
        <f>INDEX(PT_DIFFERENTIATION_VDET,MATCH(A196,PT_DIFFERENTIATION_VTAR_ID,0))</f>
        <v/>
      </c>
      <c r="G196" s="37"/>
      <c r="H196" s="979"/>
      <c r="I196" s="1006"/>
      <c r="J196" s="227"/>
      <c r="K196" s="788" t="s">
        <v>308</v>
      </c>
      <c r="L196" s="207"/>
      <c r="M196" s="202"/>
      <c r="N196" s="66"/>
      <c r="O196" s="66"/>
    </row>
    <row r="197" spans="1:15" s="9" customFormat="1" ht="18.75" hidden="1" customHeight="1">
      <c r="A197" s="2"/>
      <c r="B197" s="1" t="s">
        <v>1684</v>
      </c>
      <c r="C197" s="1381"/>
      <c r="D197" s="1170"/>
      <c r="E197" s="1225"/>
      <c r="F197" s="1225"/>
      <c r="G197" s="239"/>
      <c r="H197" s="50" t="s">
        <v>1579</v>
      </c>
      <c r="I197" s="108"/>
      <c r="J197" s="240"/>
      <c r="K197" s="105"/>
      <c r="L197" s="207"/>
      <c r="M197" s="202"/>
      <c r="N197" s="66"/>
      <c r="O197" s="66"/>
    </row>
    <row r="198" spans="1:15" s="9" customFormat="1" ht="18.75" hidden="1" customHeight="1">
      <c r="A198" s="2" t="s">
        <v>242</v>
      </c>
      <c r="B198" s="1"/>
      <c r="C198" s="1381"/>
      <c r="D198" s="1170"/>
      <c r="E198" s="1225" t="str">
        <f>INDEX(PT_DIFFERENTIATION_VTAR,MATCH(A198,PT_DIFFERENTIATION_VTAR_ID,0))</f>
        <v>Тариф на подвоз воды</v>
      </c>
      <c r="F198" s="1225" t="str">
        <f>INDEX(PT_DIFFERENTIATION_VDET,MATCH(A198,PT_DIFFERENTIATION_VTAR_ID,0))</f>
        <v/>
      </c>
      <c r="G198" s="37"/>
      <c r="H198" s="979"/>
      <c r="I198" s="1006"/>
      <c r="J198" s="227"/>
      <c r="K198" s="788" t="s">
        <v>308</v>
      </c>
      <c r="L198" s="207"/>
      <c r="M198" s="202"/>
      <c r="N198" s="66"/>
      <c r="O198" s="66"/>
    </row>
    <row r="199" spans="1:15" s="9" customFormat="1" ht="18.75" hidden="1" customHeight="1">
      <c r="A199" s="2"/>
      <c r="B199" s="1" t="s">
        <v>1684</v>
      </c>
      <c r="C199" s="1381"/>
      <c r="D199" s="1170"/>
      <c r="E199" s="1225"/>
      <c r="F199" s="1225"/>
      <c r="G199" s="239"/>
      <c r="H199" s="50" t="s">
        <v>1579</v>
      </c>
      <c r="I199" s="108"/>
      <c r="J199" s="240"/>
      <c r="K199" s="105"/>
      <c r="L199" s="207"/>
      <c r="M199" s="202"/>
      <c r="N199" s="66"/>
      <c r="O199" s="66"/>
    </row>
    <row r="200" spans="1:15" s="9" customFormat="1" ht="18.75" hidden="1" customHeight="1">
      <c r="A200" s="2" t="s">
        <v>247</v>
      </c>
      <c r="B200" s="1"/>
      <c r="C200" s="1381"/>
      <c r="D200" s="1170"/>
      <c r="E200" s="122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1225" t="str">
        <f>INDEX(PT_DIFFERENTIATION_VDET,MATCH(A200,PT_DIFFERENTIATION_VTAR_ID,0))</f>
        <v/>
      </c>
      <c r="G200" s="37"/>
      <c r="H200" s="979"/>
      <c r="I200" s="1006"/>
      <c r="J200" s="227"/>
      <c r="K200" s="788" t="s">
        <v>308</v>
      </c>
      <c r="L200" s="207"/>
      <c r="M200" s="202"/>
      <c r="N200" s="66"/>
      <c r="O200" s="66"/>
    </row>
    <row r="201" spans="1:15" s="9" customFormat="1" ht="18.75" hidden="1" customHeight="1">
      <c r="A201" s="2"/>
      <c r="B201" s="1" t="s">
        <v>1684</v>
      </c>
      <c r="C201" s="1381"/>
      <c r="D201" s="1170"/>
      <c r="E201" s="1225"/>
      <c r="F201" s="1225"/>
      <c r="G201" s="239"/>
      <c r="H201" s="50" t="s">
        <v>1579</v>
      </c>
      <c r="I201" s="108"/>
      <c r="J201" s="240"/>
      <c r="K201" s="105"/>
      <c r="L201" s="207"/>
      <c r="M201" s="202"/>
      <c r="N201" s="66"/>
      <c r="O201" s="66"/>
    </row>
    <row r="202" spans="1:15" s="9" customFormat="1" ht="18.75" hidden="1" customHeight="1">
      <c r="A202" s="2" t="s">
        <v>252</v>
      </c>
      <c r="B202" s="1"/>
      <c r="C202" s="1381"/>
      <c r="D202" s="1170"/>
      <c r="E202" s="1225" t="str">
        <f>INDEX(PT_DIFFERENTIATION_VTAR,MATCH(A202,PT_DIFFERENTIATION_VTAR_ID,0))</f>
        <v>Тариф на горячую воду (горячее водоснабжение)</v>
      </c>
      <c r="F202" s="1225" t="str">
        <f>INDEX(PT_DIFFERENTIATION_VDET,MATCH(A202,PT_DIFFERENTIATION_VTAR_ID,0))</f>
        <v/>
      </c>
      <c r="G202" s="37"/>
      <c r="H202" s="979"/>
      <c r="I202" s="1006"/>
      <c r="J202" s="227"/>
      <c r="K202" s="788" t="s">
        <v>308</v>
      </c>
      <c r="L202" s="207"/>
      <c r="M202" s="202"/>
      <c r="N202" s="66"/>
      <c r="O202" s="66"/>
    </row>
    <row r="203" spans="1:15" s="9" customFormat="1" ht="18.75" hidden="1" customHeight="1">
      <c r="A203" s="2"/>
      <c r="B203" s="1" t="s">
        <v>1684</v>
      </c>
      <c r="C203" s="1381"/>
      <c r="D203" s="1170"/>
      <c r="E203" s="1225"/>
      <c r="F203" s="1225"/>
      <c r="G203" s="239"/>
      <c r="H203" s="50" t="s">
        <v>1579</v>
      </c>
      <c r="I203" s="108"/>
      <c r="J203" s="240"/>
      <c r="K203" s="105"/>
      <c r="L203" s="207"/>
      <c r="M203" s="202"/>
      <c r="N203" s="66"/>
      <c r="O203" s="66"/>
    </row>
    <row r="204" spans="1:15" s="9" customFormat="1" ht="18.75" hidden="1" customHeight="1">
      <c r="A204" s="2" t="s">
        <v>257</v>
      </c>
      <c r="B204" s="1"/>
      <c r="C204" s="1381"/>
      <c r="D204" s="1170"/>
      <c r="E204" s="1225" t="str">
        <f>INDEX(PT_DIFFERENTIATION_VTAR,MATCH(A204,PT_DIFFERENTIATION_VTAR_ID,0))</f>
        <v>Тариф на транспортировку горячей воды</v>
      </c>
      <c r="F204" s="1225" t="str">
        <f>INDEX(PT_DIFFERENTIATION_VDET,MATCH(A204,PT_DIFFERENTIATION_VTAR_ID,0))</f>
        <v/>
      </c>
      <c r="G204" s="37"/>
      <c r="H204" s="979"/>
      <c r="I204" s="1006"/>
      <c r="J204" s="227"/>
      <c r="K204" s="788" t="s">
        <v>308</v>
      </c>
      <c r="L204" s="207"/>
      <c r="M204" s="202"/>
      <c r="N204" s="66"/>
      <c r="O204" s="66"/>
    </row>
    <row r="205" spans="1:15" s="9" customFormat="1" ht="18.75" hidden="1" customHeight="1">
      <c r="A205" s="2"/>
      <c r="B205" s="1" t="s">
        <v>1684</v>
      </c>
      <c r="C205" s="1381"/>
      <c r="D205" s="1170"/>
      <c r="E205" s="1225"/>
      <c r="F205" s="1225"/>
      <c r="G205" s="239"/>
      <c r="H205" s="50" t="s">
        <v>1579</v>
      </c>
      <c r="I205" s="108"/>
      <c r="J205" s="240"/>
      <c r="K205" s="105"/>
      <c r="L205" s="207"/>
      <c r="M205" s="202"/>
      <c r="N205" s="66"/>
      <c r="O205" s="66"/>
    </row>
    <row r="206" spans="1:15" s="9" customFormat="1" ht="18.75" hidden="1" customHeight="1">
      <c r="A206" s="2" t="s">
        <v>262</v>
      </c>
      <c r="B206" s="1"/>
      <c r="C206" s="1381"/>
      <c r="D206" s="1170"/>
      <c r="E206" s="1225" t="str">
        <f>INDEX(PT_DIFFERENTIATION_VTAR,MATCH(A206,PT_DIFFERENTIATION_VTAR_ID,0))</f>
        <v>Тариф на подключение (технологическое присоединение) к централизованной системе горячего водоснабжения</v>
      </c>
      <c r="F206" s="1225" t="str">
        <f>INDEX(PT_DIFFERENTIATION_VDET,MATCH(A206,PT_DIFFERENTIATION_VTAR_ID,0))</f>
        <v/>
      </c>
      <c r="G206" s="37"/>
      <c r="H206" s="979"/>
      <c r="I206" s="1006"/>
      <c r="J206" s="227"/>
      <c r="K206" s="788" t="s">
        <v>308</v>
      </c>
      <c r="L206" s="207"/>
      <c r="M206" s="202"/>
      <c r="N206" s="66"/>
      <c r="O206" s="66"/>
    </row>
    <row r="207" spans="1:15" s="9" customFormat="1" ht="18.75" hidden="1" customHeight="1">
      <c r="A207" s="2"/>
      <c r="B207" s="1" t="s">
        <v>1684</v>
      </c>
      <c r="C207" s="1381"/>
      <c r="D207" s="1170"/>
      <c r="E207" s="1225"/>
      <c r="F207" s="1225"/>
      <c r="G207" s="239"/>
      <c r="H207" s="50" t="s">
        <v>1579</v>
      </c>
      <c r="I207" s="108"/>
      <c r="J207" s="240"/>
      <c r="K207" s="105"/>
      <c r="L207" s="207"/>
      <c r="M207" s="202"/>
      <c r="N207" s="66"/>
      <c r="O207" s="66"/>
    </row>
    <row r="208" spans="1:15" s="9" customFormat="1" ht="18.75" hidden="1" customHeight="1">
      <c r="A208" s="2" t="s">
        <v>267</v>
      </c>
      <c r="B208" s="1"/>
      <c r="C208" s="1381"/>
      <c r="D208" s="1170"/>
      <c r="E208" s="1225" t="str">
        <f>INDEX(PT_DIFFERENTIATION_VTAR,MATCH(A208,PT_DIFFERENTIATION_VTAR_ID,0))</f>
        <v>Тариф на водоотведение</v>
      </c>
      <c r="F208" s="1225" t="str">
        <f>INDEX(PT_DIFFERENTIATION_VDET,MATCH(A208,PT_DIFFERENTIATION_VTAR_ID,0))</f>
        <v/>
      </c>
      <c r="G208" s="37"/>
      <c r="H208" s="979"/>
      <c r="I208" s="1006"/>
      <c r="J208" s="227"/>
      <c r="K208" s="788" t="s">
        <v>308</v>
      </c>
      <c r="L208" s="207"/>
      <c r="M208" s="202"/>
      <c r="N208" s="66"/>
      <c r="O208" s="66"/>
    </row>
    <row r="209" spans="1:15" s="9" customFormat="1" ht="18.75" hidden="1" customHeight="1">
      <c r="A209" s="2"/>
      <c r="B209" s="1" t="s">
        <v>1684</v>
      </c>
      <c r="C209" s="1381"/>
      <c r="D209" s="1170"/>
      <c r="E209" s="1225"/>
      <c r="F209" s="1225"/>
      <c r="G209" s="239"/>
      <c r="H209" s="50" t="s">
        <v>1579</v>
      </c>
      <c r="I209" s="108"/>
      <c r="J209" s="240"/>
      <c r="K209" s="105"/>
      <c r="L209" s="207"/>
      <c r="M209" s="202"/>
      <c r="N209" s="66"/>
      <c r="O209" s="66"/>
    </row>
    <row r="210" spans="1:15" s="9" customFormat="1" ht="18.75" hidden="1" customHeight="1">
      <c r="A210" s="2" t="s">
        <v>272</v>
      </c>
      <c r="B210" s="1"/>
      <c r="C210" s="1381"/>
      <c r="D210" s="1170"/>
      <c r="E210" s="1225" t="str">
        <f>INDEX(PT_DIFFERENTIATION_VTAR,MATCH(A210,PT_DIFFERENTIATION_VTAR_ID,0))</f>
        <v>Тариф на транспортировку сточных вод</v>
      </c>
      <c r="F210" s="1225" t="str">
        <f>INDEX(PT_DIFFERENTIATION_VDET,MATCH(A210,PT_DIFFERENTIATION_VTAR_ID,0))</f>
        <v/>
      </c>
      <c r="G210" s="37"/>
      <c r="H210" s="979"/>
      <c r="I210" s="1006"/>
      <c r="J210" s="227"/>
      <c r="K210" s="788" t="s">
        <v>308</v>
      </c>
      <c r="L210" s="207"/>
      <c r="M210" s="202"/>
      <c r="N210" s="66"/>
      <c r="O210" s="66"/>
    </row>
    <row r="211" spans="1:15" s="9" customFormat="1" ht="18.75" hidden="1" customHeight="1">
      <c r="A211" s="2"/>
      <c r="B211" s="1" t="s">
        <v>1684</v>
      </c>
      <c r="C211" s="1381"/>
      <c r="D211" s="1170"/>
      <c r="E211" s="1225"/>
      <c r="F211" s="1225"/>
      <c r="G211" s="239"/>
      <c r="H211" s="50" t="s">
        <v>1579</v>
      </c>
      <c r="I211" s="108"/>
      <c r="J211" s="240"/>
      <c r="K211" s="105"/>
      <c r="L211" s="207"/>
      <c r="M211" s="202"/>
      <c r="N211" s="66"/>
      <c r="O211" s="66"/>
    </row>
    <row r="212" spans="1:15" s="9" customFormat="1" ht="18.75" hidden="1" customHeight="1">
      <c r="A212" s="2" t="s">
        <v>277</v>
      </c>
      <c r="B212" s="1"/>
      <c r="C212" s="1381"/>
      <c r="D212" s="1170"/>
      <c r="E212" s="1225" t="str">
        <f>INDEX(PT_DIFFERENTIATION_VTAR,MATCH(A212,PT_DIFFERENTIATION_VTAR_ID,0))</f>
        <v>Тариф на подключение (технологическое присоединение) к централизованной системе водоотведения</v>
      </c>
      <c r="F212" s="1225" t="str">
        <f>INDEX(PT_DIFFERENTIATION_VDET,MATCH(A212,PT_DIFFERENTIATION_VTAR_ID,0))</f>
        <v/>
      </c>
      <c r="G212" s="37"/>
      <c r="H212" s="979"/>
      <c r="I212" s="1006"/>
      <c r="J212" s="227"/>
      <c r="K212" s="788" t="s">
        <v>308</v>
      </c>
      <c r="L212" s="207"/>
      <c r="M212" s="202"/>
      <c r="N212" s="66"/>
      <c r="O212" s="66"/>
    </row>
    <row r="213" spans="1:15" s="9" customFormat="1" ht="18.75" hidden="1" customHeight="1">
      <c r="A213" s="2"/>
      <c r="B213" s="1" t="s">
        <v>1684</v>
      </c>
      <c r="C213" s="1381"/>
      <c r="D213" s="1170"/>
      <c r="E213" s="1225"/>
      <c r="F213" s="1225"/>
      <c r="G213" s="239"/>
      <c r="H213" s="50" t="s">
        <v>1579</v>
      </c>
      <c r="I213" s="108"/>
      <c r="J213" s="240"/>
      <c r="K213" s="105"/>
      <c r="L213" s="207"/>
      <c r="M213" s="202"/>
      <c r="N213" s="66"/>
      <c r="O213" s="66"/>
    </row>
    <row r="214" spans="1:15" s="2" customFormat="1" ht="3" customHeight="1">
      <c r="D214" s="242"/>
      <c r="E214" s="242"/>
      <c r="F214" s="242"/>
      <c r="G214" s="242"/>
      <c r="H214" s="242"/>
      <c r="I214" s="242"/>
      <c r="J214" s="242"/>
      <c r="K214" s="242"/>
      <c r="L214" s="242"/>
      <c r="N214" s="101"/>
      <c r="O214" s="101"/>
    </row>
    <row r="215" spans="1:15" ht="24.75" customHeight="1">
      <c r="D215" s="106"/>
      <c r="E215" s="1286"/>
      <c r="F215" s="1286"/>
      <c r="G215" s="1286"/>
      <c r="H215" s="1286"/>
      <c r="I215" s="1286"/>
      <c r="J215" s="1286"/>
      <c r="K215" s="1286"/>
      <c r="L215" s="1286"/>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xr:uid="{00000000-0002-0000-21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xr:uid="{00000000-0002-0000-21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xr:uid="{00000000-0002-0000-21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xr:uid="{00000000-0002-0000-21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936C-B481-BAF4-7393-C466CB9F1CA2}">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3"/>
      <c r="B2" s="793"/>
      <c r="C2" s="793"/>
      <c r="D2" s="793"/>
      <c r="E2" s="1287">
        <v>1</v>
      </c>
      <c r="F2" s="793"/>
      <c r="G2" s="793"/>
      <c r="H2" s="793"/>
      <c r="I2" s="793"/>
      <c r="J2" s="793"/>
      <c r="K2" s="793"/>
      <c r="L2" s="794"/>
      <c r="M2" s="433"/>
      <c r="N2" s="433"/>
      <c r="O2" s="433"/>
      <c r="Q2" s="2"/>
      <c r="R2" s="213"/>
      <c r="S2" s="725" t="e">
        <f>INDEX(PT_DIFFERENTIATION_NUM_NTAR,MATCH(A2,PT_DIFFERENTIATION_NTAR_ID,0))</f>
        <v>#N/A</v>
      </c>
      <c r="T2" s="64" t="s">
        <v>139</v>
      </c>
      <c r="U2" s="170"/>
      <c r="V2" s="1281"/>
      <c r="W2" s="1282"/>
      <c r="X2" s="1282"/>
      <c r="Y2" s="1282"/>
      <c r="Z2" s="1282"/>
      <c r="AA2" s="1282"/>
      <c r="AB2" s="1283"/>
      <c r="AC2" s="1281" t="e">
        <f>INDEX(PT_DIFFERENTIATION_NTAR,MATCH(A2,PT_DIFFERENTIATION_NTAR_ID,0))</f>
        <v>#N/A</v>
      </c>
      <c r="AD2" s="1282"/>
      <c r="AE2" s="1282"/>
      <c r="AF2" s="1282"/>
      <c r="AG2" s="1282"/>
      <c r="AH2" s="1282"/>
      <c r="AI2" s="1282"/>
      <c r="AJ2" s="1283"/>
      <c r="AK2" s="7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3"/>
      <c r="B3" s="793"/>
      <c r="C3" s="793"/>
      <c r="D3" s="793"/>
      <c r="E3" s="1288"/>
      <c r="F3" s="1287">
        <v>1</v>
      </c>
      <c r="G3" s="793"/>
      <c r="H3" s="793"/>
      <c r="I3" s="793"/>
      <c r="J3" s="793"/>
      <c r="K3" s="793"/>
      <c r="L3" s="794"/>
      <c r="M3" s="433"/>
      <c r="N3" s="433"/>
      <c r="O3" s="433"/>
      <c r="P3" s="56"/>
      <c r="Q3" s="210"/>
      <c r="R3" s="211"/>
      <c r="S3" s="725" t="e">
        <f>INDEX(PT_DIFFERENTIATION_NUM_TER,MATCH(B3,PT_DIFFERENTIATION_TER_ID,0))</f>
        <v>#N/A</v>
      </c>
      <c r="T3" s="178" t="s">
        <v>471</v>
      </c>
      <c r="U3" s="170"/>
      <c r="V3" s="1281"/>
      <c r="W3" s="1282"/>
      <c r="X3" s="1282"/>
      <c r="Y3" s="1282"/>
      <c r="Z3" s="1282"/>
      <c r="AA3" s="1282"/>
      <c r="AB3" s="1283"/>
      <c r="AC3" s="1281" t="e">
        <f>INDEX(PT_DIFFERENTIATION_TER,MATCH(B3,PT_DIFFERENTIATION_TER_ID,0))</f>
        <v>#N/A</v>
      </c>
      <c r="AD3" s="1282"/>
      <c r="AE3" s="1282"/>
      <c r="AF3" s="1282"/>
      <c r="AG3" s="1282"/>
      <c r="AH3" s="1282"/>
      <c r="AI3" s="1282"/>
      <c r="AJ3" s="1283"/>
      <c r="AK3" s="753" t="s">
        <v>472</v>
      </c>
      <c r="AM3" s="66"/>
      <c r="AN3" s="66" t="str">
        <f t="shared" si="0"/>
        <v>Территория действия тарифа</v>
      </c>
      <c r="AO3" s="66"/>
      <c r="AP3" s="66"/>
    </row>
    <row r="4" spans="1:42" ht="23.25" hidden="1" customHeight="1">
      <c r="A4" s="793"/>
      <c r="B4" s="793"/>
      <c r="C4" s="793"/>
      <c r="D4" s="793"/>
      <c r="E4" s="1288"/>
      <c r="F4" s="1288"/>
      <c r="G4" s="1287">
        <v>1</v>
      </c>
      <c r="H4" s="793"/>
      <c r="I4" s="793"/>
      <c r="J4" s="793"/>
      <c r="K4" s="793"/>
      <c r="L4" s="794"/>
      <c r="M4" s="433"/>
      <c r="N4" s="433"/>
      <c r="O4" s="433"/>
      <c r="P4" s="212"/>
      <c r="Q4" s="210"/>
      <c r="R4" s="211"/>
      <c r="S4" s="725" t="e">
        <f>INDEX(PT_DIFFERENTIATION_NUM_CS,MATCH(C4,PT_DIFFERENTIATION_CS_ID,0))</f>
        <v>#N/A</v>
      </c>
      <c r="T4" s="179" t="s">
        <v>1685</v>
      </c>
      <c r="U4" s="170"/>
      <c r="V4" s="1281"/>
      <c r="W4" s="1282"/>
      <c r="X4" s="1282"/>
      <c r="Y4" s="1282"/>
      <c r="Z4" s="1282"/>
      <c r="AA4" s="1282"/>
      <c r="AB4" s="1283"/>
      <c r="AC4" s="1281" t="e">
        <f>INDEX(PT_DIFFERENTIATION_CS,MATCH(C4,PT_DIFFERENTIATION_CS_ID,0))</f>
        <v>#N/A</v>
      </c>
      <c r="AD4" s="1282"/>
      <c r="AE4" s="1282"/>
      <c r="AF4" s="1282"/>
      <c r="AG4" s="1282"/>
      <c r="AH4" s="1282"/>
      <c r="AI4" s="1282"/>
      <c r="AJ4" s="1283"/>
      <c r="AK4" s="753" t="s">
        <v>1686</v>
      </c>
      <c r="AM4" s="66"/>
      <c r="AN4" s="66" t="str">
        <f t="shared" si="0"/>
        <v>Наименование централизованной системы холодного водоснабжения</v>
      </c>
      <c r="AO4" s="66"/>
      <c r="AP4" s="66"/>
    </row>
    <row r="5" spans="1:42" ht="23.25" hidden="1" customHeight="1">
      <c r="A5" s="793"/>
      <c r="B5" s="793"/>
      <c r="C5" s="793"/>
      <c r="D5" s="793"/>
      <c r="E5" s="1288"/>
      <c r="F5" s="1288"/>
      <c r="G5" s="1288"/>
      <c r="H5" s="1288"/>
      <c r="I5" s="1289" t="e">
        <f>S4&amp;".1"</f>
        <v>#N/A</v>
      </c>
      <c r="J5" s="793"/>
      <c r="K5" s="793"/>
      <c r="L5" s="794"/>
      <c r="P5" s="1211">
        <v>1</v>
      </c>
      <c r="Q5" s="119"/>
      <c r="R5" s="214"/>
      <c r="S5" s="725" t="e">
        <f>$I5</f>
        <v>#N/A</v>
      </c>
      <c r="T5" s="163" t="s">
        <v>1687</v>
      </c>
      <c r="U5" s="170"/>
      <c r="V5" s="1387"/>
      <c r="W5" s="1388"/>
      <c r="X5" s="1388"/>
      <c r="Y5" s="1388"/>
      <c r="Z5" s="1388"/>
      <c r="AA5" s="1388"/>
      <c r="AB5" s="1389"/>
      <c r="AC5" s="1390"/>
      <c r="AD5" s="1391"/>
      <c r="AE5" s="1391"/>
      <c r="AF5" s="1391"/>
      <c r="AG5" s="1391"/>
      <c r="AH5" s="1391"/>
      <c r="AI5" s="1391"/>
      <c r="AJ5" s="1392"/>
      <c r="AK5" s="753" t="s">
        <v>1688</v>
      </c>
      <c r="AM5" s="66"/>
      <c r="AN5" s="66" t="str">
        <f t="shared" si="0"/>
        <v>Наименование признака дифференциации</v>
      </c>
      <c r="AO5" s="66"/>
      <c r="AP5" s="66"/>
    </row>
    <row r="6" spans="1:42" ht="23.25" hidden="1" customHeight="1">
      <c r="A6" s="793"/>
      <c r="B6" s="793"/>
      <c r="C6" s="793"/>
      <c r="D6" s="793"/>
      <c r="E6" s="1288"/>
      <c r="F6" s="1288"/>
      <c r="G6" s="1288"/>
      <c r="H6" s="1288"/>
      <c r="I6" s="1290"/>
      <c r="J6" s="1289" t="e">
        <f>I5&amp;".1"</f>
        <v>#N/A</v>
      </c>
      <c r="K6" s="793"/>
      <c r="L6" s="794" t="s">
        <v>480</v>
      </c>
      <c r="P6" s="1211"/>
      <c r="Q6" s="1211">
        <v>1</v>
      </c>
      <c r="R6" s="215"/>
      <c r="S6" s="725" t="e">
        <f>$J6</f>
        <v>#N/A</v>
      </c>
      <c r="T6" s="164" t="s">
        <v>481</v>
      </c>
      <c r="U6" s="170"/>
      <c r="V6" s="1275"/>
      <c r="W6" s="1276"/>
      <c r="X6" s="1276"/>
      <c r="Y6" s="1276"/>
      <c r="Z6" s="1276"/>
      <c r="AA6" s="1276"/>
      <c r="AB6" s="1277"/>
      <c r="AC6" s="1275"/>
      <c r="AD6" s="1276"/>
      <c r="AE6" s="1276"/>
      <c r="AF6" s="1276"/>
      <c r="AG6" s="1276"/>
      <c r="AH6" s="1276"/>
      <c r="AI6" s="1276"/>
      <c r="AJ6" s="1277"/>
      <c r="AK6" s="778" t="s">
        <v>1689</v>
      </c>
      <c r="AM6" s="66"/>
      <c r="AN6" s="66" t="str">
        <f t="shared" si="0"/>
        <v>Группа потребителей</v>
      </c>
      <c r="AO6" s="66"/>
      <c r="AP6" s="66"/>
    </row>
    <row r="7" spans="1:42" ht="23.25" hidden="1" customHeight="1">
      <c r="A7" s="793"/>
      <c r="B7" s="793"/>
      <c r="C7" s="793"/>
      <c r="D7" s="793"/>
      <c r="E7" s="1288"/>
      <c r="F7" s="1288"/>
      <c r="G7" s="1288"/>
      <c r="H7" s="1288"/>
      <c r="I7" s="1290"/>
      <c r="J7" s="1290"/>
      <c r="K7" s="1289" t="e">
        <f>J6&amp;".1"</f>
        <v>#N/A</v>
      </c>
      <c r="L7" s="794"/>
      <c r="P7" s="1211"/>
      <c r="Q7" s="1211"/>
      <c r="R7" s="215">
        <v>1</v>
      </c>
      <c r="S7" s="725" t="e">
        <f>$K7</f>
        <v>#N/A</v>
      </c>
      <c r="T7" s="836"/>
      <c r="U7" s="170"/>
      <c r="V7" s="317"/>
      <c r="W7" s="317"/>
      <c r="X7" s="752"/>
      <c r="Y7" s="1291"/>
      <c r="Z7" s="1092" t="s">
        <v>59</v>
      </c>
      <c r="AA7" s="1291"/>
      <c r="AB7" s="1092" t="s">
        <v>59</v>
      </c>
      <c r="AC7" s="317"/>
      <c r="AD7" s="317"/>
      <c r="AE7" s="752"/>
      <c r="AF7" s="1291"/>
      <c r="AG7" s="1092" t="s">
        <v>59</v>
      </c>
      <c r="AH7" s="1293"/>
      <c r="AI7" s="1092" t="s">
        <v>59</v>
      </c>
      <c r="AJ7" s="837"/>
      <c r="AK7"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3"/>
      <c r="B8" s="793"/>
      <c r="C8" s="793"/>
      <c r="D8" s="793"/>
      <c r="E8" s="1288"/>
      <c r="F8" s="1288"/>
      <c r="G8" s="1288"/>
      <c r="H8" s="1288"/>
      <c r="I8" s="1290"/>
      <c r="J8" s="1290"/>
      <c r="K8" s="1289"/>
      <c r="L8" s="794"/>
      <c r="P8" s="1211"/>
      <c r="Q8" s="1211"/>
      <c r="R8" s="215"/>
      <c r="S8" s="62"/>
      <c r="T8" s="170"/>
      <c r="U8" s="170"/>
      <c r="V8" s="196"/>
      <c r="W8" s="196"/>
      <c r="X8" s="198" t="str">
        <f>Y7&amp;"-"&amp;AA7</f>
        <v>-</v>
      </c>
      <c r="Y8" s="1292"/>
      <c r="Z8" s="1092"/>
      <c r="AA8" s="1292"/>
      <c r="AB8" s="1092"/>
      <c r="AC8" s="196"/>
      <c r="AD8" s="196"/>
      <c r="AE8" s="198" t="str">
        <f>AF7&amp;"-"&amp;AH7</f>
        <v>-</v>
      </c>
      <c r="AF8" s="1292"/>
      <c r="AG8" s="1092"/>
      <c r="AH8" s="1294"/>
      <c r="AI8" s="1092"/>
      <c r="AJ8" s="396"/>
      <c r="AK8" s="1393"/>
      <c r="AM8" s="66"/>
      <c r="AN8" s="66" t="str">
        <f t="shared" si="0"/>
        <v/>
      </c>
      <c r="AO8" s="66"/>
      <c r="AP8" s="66"/>
    </row>
    <row r="9" spans="1:42" ht="21" hidden="1" customHeight="1">
      <c r="A9" s="793"/>
      <c r="B9" s="793"/>
      <c r="C9" s="793"/>
      <c r="D9" s="793"/>
      <c r="E9" s="1288"/>
      <c r="F9" s="1288"/>
      <c r="G9" s="1288"/>
      <c r="H9" s="1288"/>
      <c r="I9" s="1290"/>
      <c r="J9" s="1289"/>
      <c r="K9" s="793"/>
      <c r="L9" s="794"/>
      <c r="P9" s="1211"/>
      <c r="Q9" s="1211"/>
      <c r="R9" s="214"/>
      <c r="S9" s="767"/>
      <c r="T9" s="165" t="s">
        <v>1690</v>
      </c>
      <c r="U9" s="221"/>
      <c r="V9" s="221"/>
      <c r="W9" s="221"/>
      <c r="X9" s="221"/>
      <c r="Y9" s="221"/>
      <c r="Z9" s="221"/>
      <c r="AA9" s="221"/>
      <c r="AB9" s="221"/>
      <c r="AC9" s="221"/>
      <c r="AD9" s="221"/>
      <c r="AE9" s="221"/>
      <c r="AF9" s="221"/>
      <c r="AG9" s="221"/>
      <c r="AH9" s="221"/>
      <c r="AI9" s="221"/>
      <c r="AJ9" s="221"/>
      <c r="AK9" s="753" t="s">
        <v>1691</v>
      </c>
      <c r="AM9" s="66"/>
      <c r="AN9" s="66" t="str">
        <f t="shared" si="0"/>
        <v>Добавить значение признака дифференциации</v>
      </c>
      <c r="AO9" s="66"/>
      <c r="AP9" s="66"/>
    </row>
    <row r="10" spans="1:42" ht="21" hidden="1" customHeight="1">
      <c r="A10" s="793"/>
      <c r="B10" s="793"/>
      <c r="C10" s="793"/>
      <c r="D10" s="793"/>
      <c r="E10" s="1288"/>
      <c r="F10" s="1288"/>
      <c r="G10" s="1288"/>
      <c r="H10" s="1288"/>
      <c r="I10" s="1289"/>
      <c r="J10" s="793"/>
      <c r="K10" s="793"/>
      <c r="L10" s="794"/>
      <c r="P10" s="1211"/>
      <c r="Q10" s="119"/>
      <c r="R10" s="214"/>
      <c r="S10" s="767"/>
      <c r="T10" s="219" t="s">
        <v>486</v>
      </c>
      <c r="U10" s="221"/>
      <c r="V10" s="221"/>
      <c r="W10" s="221"/>
      <c r="X10" s="221"/>
      <c r="Y10" s="221"/>
      <c r="Z10" s="221"/>
      <c r="AA10" s="221"/>
      <c r="AB10" s="197"/>
      <c r="AC10" s="221"/>
      <c r="AD10" s="221"/>
      <c r="AE10" s="221"/>
      <c r="AF10" s="221"/>
      <c r="AG10" s="221"/>
      <c r="AH10" s="221"/>
      <c r="AI10" s="197"/>
      <c r="AJ10" s="221"/>
      <c r="AK10" s="838"/>
      <c r="AM10" s="66"/>
      <c r="AN10" s="66" t="str">
        <f t="shared" si="0"/>
        <v>Добавить группу потребителей</v>
      </c>
      <c r="AO10" s="66"/>
      <c r="AP10" s="66"/>
    </row>
    <row r="11" spans="1:42" ht="14.25" hidden="1" customHeight="1">
      <c r="A11" s="793"/>
      <c r="B11" s="793"/>
      <c r="C11" s="793"/>
      <c r="D11" s="793"/>
      <c r="E11" s="1288"/>
      <c r="F11" s="1288"/>
      <c r="G11" s="1288"/>
      <c r="H11" s="1287"/>
      <c r="I11" s="793"/>
      <c r="J11" s="793"/>
      <c r="K11" s="793"/>
      <c r="L11" s="794"/>
      <c r="M11" s="433"/>
      <c r="N11" s="433"/>
      <c r="O11" s="60"/>
      <c r="P11" s="2"/>
      <c r="Q11" s="224"/>
      <c r="R11" s="213"/>
      <c r="S11" s="767"/>
      <c r="T11" s="104" t="s">
        <v>1692</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88"/>
      <c r="F12" s="1287"/>
      <c r="G12" s="142"/>
      <c r="H12" s="142"/>
      <c r="I12" s="142"/>
      <c r="J12" s="142"/>
      <c r="K12" s="142"/>
      <c r="L12" s="355"/>
      <c r="M12" s="784"/>
      <c r="N12" s="784"/>
      <c r="P12" s="101"/>
      <c r="Q12" s="780"/>
      <c r="R12" s="101"/>
      <c r="S12" s="785"/>
      <c r="T12" s="787" t="s">
        <v>445</v>
      </c>
      <c r="U12" s="323"/>
      <c r="V12" s="323"/>
      <c r="W12" s="323"/>
      <c r="X12" s="323"/>
      <c r="Y12" s="323"/>
      <c r="Z12" s="323"/>
      <c r="AA12" s="323"/>
      <c r="AB12" s="323"/>
      <c r="AC12" s="323"/>
      <c r="AD12" s="323"/>
      <c r="AE12" s="323"/>
      <c r="AF12" s="323"/>
      <c r="AG12" s="323"/>
      <c r="AH12" s="323"/>
      <c r="AI12" s="323"/>
      <c r="AJ12" s="323"/>
      <c r="AK12" s="323"/>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87"/>
      <c r="F13" s="142"/>
      <c r="G13" s="142"/>
      <c r="H13" s="142"/>
      <c r="I13" s="142"/>
      <c r="J13" s="142"/>
      <c r="K13" s="142"/>
      <c r="L13" s="355"/>
      <c r="M13" s="784"/>
      <c r="N13" s="784"/>
      <c r="P13" s="101"/>
      <c r="Q13" s="780"/>
      <c r="R13" s="101"/>
      <c r="S13" s="785"/>
      <c r="T13" s="787" t="s">
        <v>446</v>
      </c>
      <c r="U13" s="323"/>
      <c r="V13" s="323"/>
      <c r="W13" s="323"/>
      <c r="X13" s="323"/>
      <c r="Y13" s="323"/>
      <c r="Z13" s="323"/>
      <c r="AA13" s="323"/>
      <c r="AB13" s="323"/>
      <c r="AC13" s="323"/>
      <c r="AD13" s="323"/>
      <c r="AE13" s="323"/>
      <c r="AF13" s="323"/>
      <c r="AG13" s="323"/>
      <c r="AH13" s="323"/>
      <c r="AI13" s="323"/>
      <c r="AJ13" s="323"/>
      <c r="AK13" s="323"/>
      <c r="AM13" s="66"/>
      <c r="AN13" s="66" t="str">
        <f t="shared" si="0"/>
        <v>Добавить территорию для дифференциации</v>
      </c>
      <c r="AO13" s="66"/>
      <c r="AP13" s="66"/>
    </row>
    <row r="14" spans="1:42" ht="14.25" hidden="1" customHeight="1"/>
    <row r="15" spans="1:42" ht="14.25" hidden="1" customHeight="1">
      <c r="AC15" s="376"/>
      <c r="AD15" s="376"/>
      <c r="AE15" s="792"/>
      <c r="AF15" s="1285"/>
      <c r="AG15" s="1284" t="s">
        <v>59</v>
      </c>
      <c r="AH15" s="1285"/>
      <c r="AI15" s="1284" t="s">
        <v>59</v>
      </c>
    </row>
    <row r="16" spans="1:42" ht="14.25" hidden="1" customHeight="1">
      <c r="AC16" s="376"/>
      <c r="AD16" s="376"/>
      <c r="AE16" s="198" t="str">
        <f>AF15&amp;"-"&amp;AH15</f>
        <v>-</v>
      </c>
      <c r="AF16" s="1284"/>
      <c r="AG16" s="1284"/>
      <c r="AH16" s="1284"/>
      <c r="AI16" s="1284"/>
    </row>
    <row r="17" spans="1:42" ht="14.25" hidden="1" customHeight="1"/>
    <row r="18" spans="1:42" s="60" customFormat="1" ht="22.5" hidden="1" customHeight="1">
      <c r="L18" s="312"/>
      <c r="M18" s="519"/>
      <c r="N18" s="519"/>
      <c r="O18" s="795" t="s">
        <v>488</v>
      </c>
      <c r="P18" s="519"/>
      <c r="Q18" s="796"/>
      <c r="R18" s="796"/>
      <c r="S18" s="433"/>
      <c r="Y18" s="795"/>
      <c r="AA18" s="795"/>
      <c r="AF18" s="795"/>
      <c r="AH18" s="795"/>
      <c r="AL18" s="65"/>
      <c r="AM18" s="65"/>
      <c r="AN18" s="65"/>
      <c r="AO18" s="65"/>
      <c r="AP18" s="65"/>
    </row>
    <row r="19" spans="1:42" s="60" customFormat="1" ht="14.25" hidden="1" customHeight="1">
      <c r="L19" s="312"/>
      <c r="M19" s="519"/>
      <c r="N19" s="519"/>
      <c r="O19" s="519"/>
      <c r="P19" s="519"/>
      <c r="Q19" s="796"/>
      <c r="R19" s="796"/>
      <c r="S19" s="433"/>
      <c r="AL19" s="65"/>
      <c r="AM19" s="65"/>
      <c r="AN19" s="65"/>
      <c r="AO19" s="65"/>
      <c r="AP19" s="65"/>
    </row>
    <row r="20" spans="1:42" s="60" customFormat="1" ht="12" hidden="1" customHeight="1">
      <c r="L20" s="312"/>
      <c r="M20" s="519"/>
      <c r="N20" s="519"/>
      <c r="O20" s="794" t="s">
        <v>489</v>
      </c>
      <c r="P20" s="519"/>
      <c r="Q20" s="839"/>
      <c r="R20" s="839"/>
      <c r="S20" s="433"/>
      <c r="T20" s="60" t="s">
        <v>490</v>
      </c>
      <c r="Z20" s="79" t="s">
        <v>491</v>
      </c>
      <c r="AB20" s="79" t="s">
        <v>492</v>
      </c>
      <c r="AC20" s="60" t="s">
        <v>490</v>
      </c>
      <c r="AG20" s="79" t="s">
        <v>493</v>
      </c>
      <c r="AI20" s="79" t="s">
        <v>492</v>
      </c>
    </row>
    <row r="21" spans="1:42" ht="14.25" hidden="1" customHeight="1">
      <c r="O21" s="794"/>
    </row>
    <row r="22" spans="1:42" ht="14.25" hidden="1" customHeight="1">
      <c r="O22" s="794"/>
    </row>
    <row r="23" spans="1:42" ht="14.25" customHeight="1">
      <c r="Q23" s="27"/>
      <c r="R23" s="27"/>
      <c r="S23" s="764"/>
      <c r="T23" s="8"/>
      <c r="U23" s="8"/>
    </row>
    <row r="24" spans="1:42" ht="32.25" customHeight="1">
      <c r="Q24" s="27"/>
      <c r="R24" s="27"/>
      <c r="S24" s="131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312"/>
      <c r="U24" s="1312"/>
      <c r="V24" s="1312"/>
      <c r="W24" s="1312"/>
      <c r="X24" s="1312"/>
      <c r="Y24" s="1312"/>
      <c r="Z24" s="1312"/>
      <c r="AA24" s="1312"/>
      <c r="AB24" s="1312"/>
      <c r="AC24" s="1312"/>
      <c r="AD24" s="1312"/>
      <c r="AE24" s="1312"/>
      <c r="AF24" s="1312"/>
      <c r="AG24" s="1312"/>
      <c r="AH24" s="1312"/>
      <c r="AI24" s="57"/>
    </row>
    <row r="25" spans="1:42" ht="14.25" customHeight="1">
      <c r="Q25" s="27"/>
      <c r="R25" s="27"/>
      <c r="S25" s="1178" t="str">
        <f>IF(org=0,"Не определено",org)</f>
        <v>ООО "Концессионная Коммунальная Компания"</v>
      </c>
      <c r="T25" s="1178"/>
      <c r="U25" s="1178"/>
      <c r="V25" s="1178"/>
      <c r="W25" s="1178"/>
      <c r="X25" s="1178"/>
      <c r="Y25" s="1178"/>
      <c r="Z25" s="1178"/>
      <c r="AA25" s="1178"/>
      <c r="AB25" s="1178"/>
      <c r="AC25" s="1178"/>
      <c r="AD25" s="1178"/>
      <c r="AE25" s="1178"/>
      <c r="AF25" s="1178"/>
      <c r="AG25" s="1178"/>
      <c r="AH25" s="1178"/>
      <c r="AI25" s="57"/>
    </row>
    <row r="26" spans="1:42" ht="14.25" hidden="1" customHeight="1">
      <c r="Q26" s="27"/>
      <c r="R26" s="27"/>
      <c r="S26" s="764"/>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4"/>
      <c r="M27" s="79"/>
      <c r="N27" s="79"/>
      <c r="O27" s="79"/>
      <c r="S27" s="1278" t="s">
        <v>40</v>
      </c>
      <c r="T27" s="1278"/>
      <c r="U27" s="797"/>
      <c r="V27" s="1280" t="str">
        <f>IF(TITLE_NAME_OR_PR_CHANGE="",IF(TITLE_NAME_OR_PR="","",TITLE_NAME_OR_PR),TITLE_NAME_OR_PR_CHANGE)</f>
        <v/>
      </c>
      <c r="W27" s="1280"/>
      <c r="X27" s="1280"/>
      <c r="Y27" s="1280"/>
      <c r="Z27" s="1280"/>
      <c r="AA27" s="1280"/>
      <c r="AB27" s="9"/>
      <c r="AC27" s="1280" t="str">
        <f>IF(TITLE_NAME_OR_PR_CHANGE="",IF(TITLE_NAME_OR_PR="","",TITLE_NAME_OR_PR),TITLE_NAME_OR_PR_CHANGE)</f>
        <v/>
      </c>
      <c r="AD27" s="1280"/>
      <c r="AE27" s="1280"/>
      <c r="AF27" s="1280"/>
      <c r="AG27" s="1280"/>
      <c r="AH27" s="1280"/>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4"/>
      <c r="M28" s="79"/>
      <c r="N28" s="79"/>
      <c r="O28" s="79"/>
      <c r="S28" s="1278" t="s">
        <v>494</v>
      </c>
      <c r="T28" s="1278"/>
      <c r="U28" s="797"/>
      <c r="V28" s="1279" t="str">
        <f>IF(TITLE_DATE_CHANGE_PERIOD="",IF(TITLE_DATE_PR="","",TITLE_DATE_PR),TITLE_DATE_CHANGE_PERIOD)</f>
        <v/>
      </c>
      <c r="W28" s="1279"/>
      <c r="X28" s="1279"/>
      <c r="Y28" s="1279"/>
      <c r="Z28" s="1279"/>
      <c r="AA28" s="1279"/>
      <c r="AB28" s="9"/>
      <c r="AC28" s="1279" t="str">
        <f>IF(TITLE_DATE_CHANGE_PERIOD="",IF(TITLE_DATE_PR="","",TITLE_DATE_PR),TITLE_DATE_CHANGE_PERIOD)</f>
        <v/>
      </c>
      <c r="AD28" s="1279"/>
      <c r="AE28" s="1279"/>
      <c r="AF28" s="1279"/>
      <c r="AG28" s="1279"/>
      <c r="AH28" s="1279"/>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4"/>
      <c r="M29" s="79"/>
      <c r="N29" s="79"/>
      <c r="O29" s="79"/>
      <c r="S29" s="1278" t="s">
        <v>495</v>
      </c>
      <c r="T29" s="1278"/>
      <c r="U29" s="797"/>
      <c r="V29" s="1280" t="str">
        <f>IF(TITLE_NUMBER_PR_CHANGE="",IF(TITLE_NUMBER_PR="","",TITLE_NUMBER_PR),TITLE_NUMBER_PR_CHANGE)</f>
        <v/>
      </c>
      <c r="W29" s="1280"/>
      <c r="X29" s="1280"/>
      <c r="Y29" s="1280"/>
      <c r="Z29" s="1280"/>
      <c r="AA29" s="1280"/>
      <c r="AB29" s="9"/>
      <c r="AC29" s="1280" t="str">
        <f>IF(TITLE_NUMBER_PR_CHANGE="",IF(TITLE_NUMBER_PR="","",TITLE_NUMBER_PR),TITLE_NUMBER_PR_CHANGE)</f>
        <v/>
      </c>
      <c r="AD29" s="1280"/>
      <c r="AE29" s="1280"/>
      <c r="AF29" s="1280"/>
      <c r="AG29" s="1280"/>
      <c r="AH29" s="1280"/>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4"/>
      <c r="M30" s="79"/>
      <c r="N30" s="79"/>
      <c r="O30" s="79"/>
      <c r="S30" s="1278" t="s">
        <v>41</v>
      </c>
      <c r="T30" s="1278"/>
      <c r="U30" s="797"/>
      <c r="V30" s="1280" t="str">
        <f>IF(TITLE_IST_PUB_CHANGE="",IF(TITLE_IST_PUB="","",TITLE_IST_PUB),TITLE_IST_PUB_CHANGE)</f>
        <v/>
      </c>
      <c r="W30" s="1280"/>
      <c r="X30" s="1280"/>
      <c r="Y30" s="1280"/>
      <c r="Z30" s="1280"/>
      <c r="AA30" s="1280"/>
      <c r="AB30" s="9"/>
      <c r="AC30" s="1280" t="str">
        <f>IF(TITLE_IST_PUB_CHANGE="",IF(TITLE_IST_PUB="","",TITLE_IST_PUB),TITLE_IST_PUB_CHANGE)</f>
        <v/>
      </c>
      <c r="AD30" s="1280"/>
      <c r="AE30" s="1280"/>
      <c r="AF30" s="1280"/>
      <c r="AG30" s="1280"/>
      <c r="AH30" s="1280"/>
      <c r="AI30" s="9"/>
      <c r="AJ30" s="9"/>
      <c r="AK30" s="162"/>
      <c r="AL30" s="66"/>
      <c r="AM30" s="66"/>
      <c r="AN30" s="66"/>
      <c r="AO30" s="66"/>
      <c r="AP30" s="66"/>
    </row>
    <row r="31" spans="1:42" ht="14.25" hidden="1" customHeight="1">
      <c r="Q31" s="27"/>
      <c r="R31" s="27"/>
      <c r="S31" s="764"/>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4"/>
      <c r="M32" s="79"/>
      <c r="N32" s="79"/>
      <c r="O32" s="79"/>
      <c r="S32" s="1278" t="s">
        <v>496</v>
      </c>
      <c r="T32" s="1278"/>
      <c r="U32" s="797"/>
      <c r="V32" s="1279" t="str">
        <f>IF(TITLE_DATE_CHANGE_PERIOD="",IF(TITLE_DATE_PR="","",TITLE_DATE_PR),TITLE_DATE_CHANGE_PERIOD)</f>
        <v/>
      </c>
      <c r="W32" s="1279"/>
      <c r="X32" s="1279"/>
      <c r="Y32" s="1279"/>
      <c r="Z32" s="1279"/>
      <c r="AA32" s="1279"/>
      <c r="AB32" s="9"/>
      <c r="AC32" s="1279" t="str">
        <f>IF(TITLE_DATE_CHANGE_PERIOD="",IF(TITLE_DATE_PR="","",TITLE_DATE_PR),TITLE_DATE_CHANGE_PERIOD)</f>
        <v/>
      </c>
      <c r="AD32" s="1279"/>
      <c r="AE32" s="1279"/>
      <c r="AF32" s="1279"/>
      <c r="AG32" s="1279"/>
      <c r="AH32" s="1279"/>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4"/>
      <c r="M33" s="79"/>
      <c r="N33" s="79"/>
      <c r="O33" s="79"/>
      <c r="S33" s="1278" t="s">
        <v>497</v>
      </c>
      <c r="T33" s="1278"/>
      <c r="U33" s="797"/>
      <c r="V33" s="1280" t="str">
        <f>IF(TITLE_NUMBER_PR_CHANGE="",IF(TITLE_NUMBER_PR="","",TITLE_NUMBER_PR),TITLE_NUMBER_PR_CHANGE)</f>
        <v/>
      </c>
      <c r="W33" s="1280"/>
      <c r="X33" s="1280"/>
      <c r="Y33" s="1280"/>
      <c r="Z33" s="1280"/>
      <c r="AA33" s="1280"/>
      <c r="AB33" s="9"/>
      <c r="AC33" s="1280" t="str">
        <f>IF(TITLE_NUMBER_PR_CHANGE="",IF(TITLE_NUMBER_PR="","",TITLE_NUMBER_PR),TITLE_NUMBER_PR_CHANGE)</f>
        <v/>
      </c>
      <c r="AD33" s="1280"/>
      <c r="AE33" s="1280"/>
      <c r="AF33" s="1280"/>
      <c r="AG33" s="1280"/>
      <c r="AH33" s="1280"/>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4"/>
      <c r="M34" s="79"/>
      <c r="N34" s="79"/>
      <c r="O34" s="79"/>
      <c r="S34" s="9"/>
      <c r="T34" s="9"/>
      <c r="U34" s="75"/>
      <c r="V34" s="9"/>
      <c r="W34" s="9"/>
      <c r="X34" s="9"/>
      <c r="Y34" s="9"/>
      <c r="Z34" s="9"/>
      <c r="AA34" s="9"/>
      <c r="AB34" s="65" t="s">
        <v>498</v>
      </c>
      <c r="AC34" s="9"/>
      <c r="AD34" s="9"/>
      <c r="AE34" s="9"/>
      <c r="AF34" s="9"/>
      <c r="AG34" s="9"/>
      <c r="AH34" s="9"/>
      <c r="AI34" s="65" t="s">
        <v>498</v>
      </c>
      <c r="AL34" s="66"/>
      <c r="AM34" s="66"/>
      <c r="AN34" s="66"/>
      <c r="AO34" s="66"/>
      <c r="AP34" s="66"/>
    </row>
    <row r="35" spans="1:42" ht="14.25" customHeight="1">
      <c r="Q35" s="27"/>
      <c r="R35" s="27"/>
      <c r="S35" s="764"/>
      <c r="T35" s="8"/>
      <c r="U35" s="736"/>
      <c r="V35" s="1298"/>
      <c r="W35" s="1298"/>
      <c r="X35" s="1298"/>
      <c r="Y35" s="1298"/>
      <c r="Z35" s="1298"/>
      <c r="AA35" s="1298"/>
      <c r="AB35" s="1298"/>
      <c r="AC35" s="1298"/>
      <c r="AD35" s="1298"/>
      <c r="AE35" s="1298"/>
      <c r="AF35" s="1298"/>
      <c r="AG35" s="1298"/>
      <c r="AH35" s="1298"/>
      <c r="AI35" s="1298"/>
    </row>
    <row r="36" spans="1:42" ht="14.25" customHeight="1">
      <c r="Q36" s="27"/>
      <c r="R36" s="27"/>
      <c r="S36" s="1082" t="s">
        <v>302</v>
      </c>
      <c r="T36" s="1082"/>
      <c r="U36" s="1082"/>
      <c r="V36" s="1082"/>
      <c r="W36" s="1082"/>
      <c r="X36" s="1082"/>
      <c r="Y36" s="1082"/>
      <c r="Z36" s="1082"/>
      <c r="AA36" s="1082"/>
      <c r="AB36" s="1082"/>
      <c r="AC36" s="1082"/>
      <c r="AD36" s="1082"/>
      <c r="AE36" s="1082"/>
      <c r="AF36" s="1082"/>
      <c r="AG36" s="1082"/>
      <c r="AH36" s="1082"/>
      <c r="AI36" s="1082"/>
      <c r="AJ36" s="1082"/>
      <c r="AK36" s="1082" t="s">
        <v>303</v>
      </c>
    </row>
    <row r="37" spans="1:42" ht="14.25" customHeight="1">
      <c r="Q37" s="27"/>
      <c r="R37" s="27"/>
      <c r="S37" s="1299" t="s">
        <v>88</v>
      </c>
      <c r="T37" s="1176" t="s">
        <v>499</v>
      </c>
      <c r="U37" s="171"/>
      <c r="V37" s="1300" t="s">
        <v>500</v>
      </c>
      <c r="W37" s="1301"/>
      <c r="X37" s="1301"/>
      <c r="Y37" s="1301"/>
      <c r="Z37" s="1301"/>
      <c r="AA37" s="1302"/>
      <c r="AB37" s="1303" t="s">
        <v>501</v>
      </c>
      <c r="AC37" s="1300" t="s">
        <v>500</v>
      </c>
      <c r="AD37" s="1301"/>
      <c r="AE37" s="1301"/>
      <c r="AF37" s="1301"/>
      <c r="AG37" s="1301"/>
      <c r="AH37" s="1302"/>
      <c r="AI37" s="1303" t="s">
        <v>502</v>
      </c>
      <c r="AJ37" s="1306" t="s">
        <v>503</v>
      </c>
      <c r="AK37" s="1082"/>
    </row>
    <row r="38" spans="1:42" ht="33.75" customHeight="1">
      <c r="Q38" s="27"/>
      <c r="R38" s="27"/>
      <c r="S38" s="1299"/>
      <c r="T38" s="1176"/>
      <c r="U38" s="621"/>
      <c r="V38" s="349" t="s">
        <v>1693</v>
      </c>
      <c r="W38" s="1063" t="s">
        <v>506</v>
      </c>
      <c r="X38" s="1062"/>
      <c r="Y38" s="1063" t="s">
        <v>507</v>
      </c>
      <c r="Z38" s="1068"/>
      <c r="AA38" s="1062"/>
      <c r="AB38" s="1304"/>
      <c r="AC38" s="349" t="s">
        <v>1693</v>
      </c>
      <c r="AD38" s="1063" t="s">
        <v>506</v>
      </c>
      <c r="AE38" s="1062"/>
      <c r="AF38" s="1063" t="s">
        <v>507</v>
      </c>
      <c r="AG38" s="1068"/>
      <c r="AH38" s="1062"/>
      <c r="AI38" s="1304"/>
      <c r="AJ38" s="1307"/>
      <c r="AK38" s="1082"/>
    </row>
    <row r="39" spans="1:42" ht="33.75" customHeight="1">
      <c r="A39" s="79"/>
      <c r="B39" s="79" t="s">
        <v>151</v>
      </c>
      <c r="C39" s="79" t="s">
        <v>152</v>
      </c>
      <c r="D39" s="79" t="s">
        <v>153</v>
      </c>
      <c r="E39" s="794" t="s">
        <v>508</v>
      </c>
      <c r="F39" s="794" t="s">
        <v>509</v>
      </c>
      <c r="G39" s="794" t="s">
        <v>510</v>
      </c>
      <c r="H39" s="794"/>
      <c r="I39" s="794" t="s">
        <v>1694</v>
      </c>
      <c r="J39" s="794" t="s">
        <v>513</v>
      </c>
      <c r="K39" s="794" t="s">
        <v>1695</v>
      </c>
      <c r="L39" s="794" t="s">
        <v>489</v>
      </c>
      <c r="Q39" s="27"/>
      <c r="R39" s="27"/>
      <c r="S39" s="1299"/>
      <c r="T39" s="1176"/>
      <c r="U39" s="172"/>
      <c r="V39" s="349" t="s">
        <v>1696</v>
      </c>
      <c r="W39" s="37" t="s">
        <v>1697</v>
      </c>
      <c r="X39" s="37" t="s">
        <v>1698</v>
      </c>
      <c r="Y39" s="37" t="s">
        <v>517</v>
      </c>
      <c r="Z39" s="1182" t="s">
        <v>518</v>
      </c>
      <c r="AA39" s="1195"/>
      <c r="AB39" s="1305"/>
      <c r="AC39" s="349" t="s">
        <v>1696</v>
      </c>
      <c r="AD39" s="37" t="s">
        <v>1697</v>
      </c>
      <c r="AE39" s="37" t="s">
        <v>1698</v>
      </c>
      <c r="AF39" s="37" t="s">
        <v>517</v>
      </c>
      <c r="AG39" s="1182" t="s">
        <v>518</v>
      </c>
      <c r="AH39" s="1195"/>
      <c r="AI39" s="1305"/>
      <c r="AJ39" s="1308"/>
      <c r="AK39" s="1082"/>
    </row>
    <row r="40" spans="1:42" s="209" customFormat="1" ht="11.25" hidden="1" customHeight="1">
      <c r="A40" s="79"/>
      <c r="B40" s="79"/>
      <c r="C40" s="79"/>
      <c r="D40" s="79"/>
      <c r="E40" s="79"/>
      <c r="F40" s="79"/>
      <c r="G40" s="79"/>
      <c r="H40" s="79"/>
      <c r="I40" s="79"/>
      <c r="J40" s="79"/>
      <c r="K40" s="79"/>
      <c r="L40" s="794"/>
      <c r="M40" s="519"/>
      <c r="N40" s="519"/>
      <c r="O40" s="519"/>
      <c r="P40" s="738"/>
      <c r="Q40" s="739"/>
      <c r="R40" s="747">
        <v>1</v>
      </c>
      <c r="S40" s="766" t="s">
        <v>119</v>
      </c>
      <c r="T40" s="748" t="s">
        <v>103</v>
      </c>
      <c r="U40" s="737" t="str">
        <f ca="1">OFFSET(U40,0,-1)</f>
        <v>2</v>
      </c>
      <c r="V40" s="749">
        <f ca="1">OFFSET(V40,0,-1)+1</f>
        <v>3</v>
      </c>
      <c r="W40" s="749">
        <f ca="1">OFFSET(W40,0,-1)+1</f>
        <v>4</v>
      </c>
      <c r="X40" s="749">
        <f ca="1">OFFSET(X40,0,-1)+1</f>
        <v>5</v>
      </c>
      <c r="Y40" s="749">
        <f ca="1">OFFSET(Y40,0,-1)+1</f>
        <v>6</v>
      </c>
      <c r="Z40" s="1297">
        <f ca="1">OFFSET(Z40,0,-1)+1</f>
        <v>7</v>
      </c>
      <c r="AA40" s="1297"/>
      <c r="AB40" s="749">
        <f ca="1">OFFSET(AB40,0,-2)+1</f>
        <v>8</v>
      </c>
      <c r="AC40" s="749">
        <f ca="1">OFFSET(AC40,0,-1)+1</f>
        <v>9</v>
      </c>
      <c r="AD40" s="749">
        <f ca="1">OFFSET(AD40,0,-1)+1</f>
        <v>10</v>
      </c>
      <c r="AE40" s="749">
        <f ca="1">OFFSET(AE40,0,-1)+1</f>
        <v>11</v>
      </c>
      <c r="AF40" s="749">
        <f ca="1">OFFSET(AF40,0,-1)+1</f>
        <v>12</v>
      </c>
      <c r="AG40" s="1297">
        <f ca="1">OFFSET(AG40,0,-1)+1</f>
        <v>13</v>
      </c>
      <c r="AH40" s="1297"/>
      <c r="AI40" s="749">
        <f ca="1">OFFSET(AI40,0,-2)+1</f>
        <v>14</v>
      </c>
      <c r="AJ40" s="737">
        <f ca="1">OFFSET(AJ40,0,-1)</f>
        <v>14</v>
      </c>
      <c r="AK40" s="749">
        <f ca="1">OFFSET(AK40,0,-1)+1</f>
        <v>15</v>
      </c>
      <c r="AL40" s="65"/>
      <c r="AM40" s="65"/>
      <c r="AN40" s="65"/>
      <c r="AO40" s="65"/>
      <c r="AP40" s="65"/>
    </row>
    <row r="41" spans="1:42" ht="23.25" customHeight="1">
      <c r="A41" s="793" t="s">
        <v>228</v>
      </c>
      <c r="B41" s="793"/>
      <c r="C41" s="793"/>
      <c r="D41" s="793"/>
      <c r="E41" s="1287">
        <v>1</v>
      </c>
      <c r="F41" s="793"/>
      <c r="G41" s="793"/>
      <c r="H41" s="793"/>
      <c r="I41" s="793"/>
      <c r="J41" s="793"/>
      <c r="K41" s="793"/>
      <c r="L41" s="794"/>
      <c r="M41" s="433"/>
      <c r="N41" s="433"/>
      <c r="O41" s="433"/>
      <c r="Q41" s="2"/>
      <c r="R41" s="213"/>
      <c r="S41" s="725">
        <f>INDEX(PT_DIFFERENTIATION_NUM_NTAR,MATCH(A41,PT_DIFFERENTIATION_NTAR_ID,0))</f>
        <v>0</v>
      </c>
      <c r="T41" s="64" t="s">
        <v>139</v>
      </c>
      <c r="U41" s="170"/>
      <c r="V41" s="1281"/>
      <c r="W41" s="1282"/>
      <c r="X41" s="1282"/>
      <c r="Y41" s="1282"/>
      <c r="Z41" s="1282"/>
      <c r="AA41" s="1282"/>
      <c r="AB41" s="1283"/>
      <c r="AC41" s="1281" t="str">
        <f>INDEX(PT_DIFFERENTIATION_NTAR,MATCH(A41,PT_DIFFERENTIATION_NTAR_ID,0))</f>
        <v/>
      </c>
      <c r="AD41" s="1282"/>
      <c r="AE41" s="1282"/>
      <c r="AF41" s="1282"/>
      <c r="AG41" s="1282"/>
      <c r="AH41" s="1282"/>
      <c r="AI41" s="1282"/>
      <c r="AJ41" s="1283"/>
      <c r="AK41" s="7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3" t="s">
        <v>228</v>
      </c>
      <c r="B42" s="793" t="s">
        <v>229</v>
      </c>
      <c r="C42" s="793"/>
      <c r="D42" s="793"/>
      <c r="E42" s="1288"/>
      <c r="F42" s="1287">
        <v>1</v>
      </c>
      <c r="G42" s="793"/>
      <c r="H42" s="793"/>
      <c r="I42" s="793"/>
      <c r="J42" s="793"/>
      <c r="K42" s="793"/>
      <c r="L42" s="794"/>
      <c r="M42" s="433"/>
      <c r="N42" s="433"/>
      <c r="O42" s="433"/>
      <c r="P42" s="56"/>
      <c r="Q42" s="210"/>
      <c r="R42" s="211"/>
      <c r="S42" s="725" t="str">
        <f>INDEX(PT_DIFFERENTIATION_NUM_TER,MATCH(B42,PT_DIFFERENTIATION_TER_ID,0))</f>
        <v>.</v>
      </c>
      <c r="T42" s="178" t="s">
        <v>471</v>
      </c>
      <c r="U42" s="170"/>
      <c r="V42" s="1281"/>
      <c r="W42" s="1282"/>
      <c r="X42" s="1282"/>
      <c r="Y42" s="1282"/>
      <c r="Z42" s="1282"/>
      <c r="AA42" s="1282"/>
      <c r="AB42" s="1283"/>
      <c r="AC42" s="1281" t="str">
        <f>INDEX(PT_DIFFERENTIATION_TER,MATCH(B42,PT_DIFFERENTIATION_TER_ID,0))</f>
        <v/>
      </c>
      <c r="AD42" s="1282"/>
      <c r="AE42" s="1282"/>
      <c r="AF42" s="1282"/>
      <c r="AG42" s="1282"/>
      <c r="AH42" s="1282"/>
      <c r="AI42" s="1282"/>
      <c r="AJ42" s="1283"/>
      <c r="AK42" s="753" t="s">
        <v>472</v>
      </c>
      <c r="AM42" s="66"/>
      <c r="AN42" s="66" t="str">
        <f t="shared" si="1"/>
        <v>Территория действия тарифа</v>
      </c>
      <c r="AO42" s="66"/>
      <c r="AP42" s="66"/>
    </row>
    <row r="43" spans="1:42" ht="23.25" customHeight="1">
      <c r="A43" s="793" t="s">
        <v>228</v>
      </c>
      <c r="B43" s="793" t="s">
        <v>229</v>
      </c>
      <c r="C43" s="793" t="s">
        <v>230</v>
      </c>
      <c r="D43" s="793"/>
      <c r="E43" s="1288"/>
      <c r="F43" s="1288"/>
      <c r="G43" s="1287">
        <v>1</v>
      </c>
      <c r="H43" s="793"/>
      <c r="I43" s="793"/>
      <c r="J43" s="793"/>
      <c r="K43" s="793"/>
      <c r="L43" s="794"/>
      <c r="M43" s="433"/>
      <c r="N43" s="433"/>
      <c r="O43" s="433"/>
      <c r="P43" s="212"/>
      <c r="Q43" s="210"/>
      <c r="R43" s="211"/>
      <c r="S43" s="725" t="str">
        <f>INDEX(PT_DIFFERENTIATION_NUM_CS,MATCH(C43,PT_DIFFERENTIATION_CS_ID,0))</f>
        <v>..</v>
      </c>
      <c r="T43" s="179" t="s">
        <v>1685</v>
      </c>
      <c r="U43" s="170"/>
      <c r="V43" s="1281"/>
      <c r="W43" s="1282"/>
      <c r="X43" s="1282"/>
      <c r="Y43" s="1282"/>
      <c r="Z43" s="1282"/>
      <c r="AA43" s="1282"/>
      <c r="AB43" s="1283"/>
      <c r="AC43" s="1281" t="str">
        <f>INDEX(PT_DIFFERENTIATION_CS,MATCH(C43,PT_DIFFERENTIATION_CS_ID,0))</f>
        <v/>
      </c>
      <c r="AD43" s="1282"/>
      <c r="AE43" s="1282"/>
      <c r="AF43" s="1282"/>
      <c r="AG43" s="1282"/>
      <c r="AH43" s="1282"/>
      <c r="AI43" s="1282"/>
      <c r="AJ43" s="1283"/>
      <c r="AK43" s="753" t="s">
        <v>1686</v>
      </c>
      <c r="AM43" s="66"/>
      <c r="AN43" s="66" t="str">
        <f t="shared" si="1"/>
        <v>Наименование централизованной системы холодного водоснабжения</v>
      </c>
      <c r="AO43" s="66"/>
      <c r="AP43" s="66"/>
    </row>
    <row r="44" spans="1:42" ht="23.25" customHeight="1">
      <c r="A44" s="793" t="s">
        <v>228</v>
      </c>
      <c r="B44" s="793" t="s">
        <v>229</v>
      </c>
      <c r="C44" s="793" t="s">
        <v>230</v>
      </c>
      <c r="D44" s="793" t="s">
        <v>1699</v>
      </c>
      <c r="E44" s="1288"/>
      <c r="F44" s="1288"/>
      <c r="G44" s="1288"/>
      <c r="H44" s="1288"/>
      <c r="I44" s="1289" t="str">
        <f>S43&amp;".1"</f>
        <v>...1</v>
      </c>
      <c r="J44" s="793"/>
      <c r="K44" s="793"/>
      <c r="L44" s="794"/>
      <c r="P44" s="1211">
        <v>1</v>
      </c>
      <c r="Q44" s="119"/>
      <c r="R44" s="214"/>
      <c r="S44" s="725" t="str">
        <f>$I44</f>
        <v>...1</v>
      </c>
      <c r="T44" s="163" t="s">
        <v>1687</v>
      </c>
      <c r="U44" s="170"/>
      <c r="V44" s="1387"/>
      <c r="W44" s="1388"/>
      <c r="X44" s="1388"/>
      <c r="Y44" s="1388"/>
      <c r="Z44" s="1388"/>
      <c r="AA44" s="1388"/>
      <c r="AB44" s="1389"/>
      <c r="AC44" s="1390"/>
      <c r="AD44" s="1391"/>
      <c r="AE44" s="1391"/>
      <c r="AF44" s="1391"/>
      <c r="AG44" s="1391"/>
      <c r="AH44" s="1391"/>
      <c r="AI44" s="1391"/>
      <c r="AJ44" s="1392"/>
      <c r="AK44" s="753" t="s">
        <v>1688</v>
      </c>
      <c r="AM44" s="66"/>
      <c r="AN44" s="66" t="str">
        <f t="shared" si="1"/>
        <v>Наименование признака дифференциации</v>
      </c>
      <c r="AO44" s="66"/>
      <c r="AP44" s="66"/>
    </row>
    <row r="45" spans="1:42" ht="23.25" customHeight="1">
      <c r="A45" s="793" t="s">
        <v>228</v>
      </c>
      <c r="B45" s="793" t="s">
        <v>229</v>
      </c>
      <c r="C45" s="793" t="s">
        <v>230</v>
      </c>
      <c r="D45" s="793" t="s">
        <v>1699</v>
      </c>
      <c r="E45" s="1288"/>
      <c r="F45" s="1288"/>
      <c r="G45" s="1288"/>
      <c r="H45" s="1288"/>
      <c r="I45" s="1290"/>
      <c r="J45" s="1289" t="str">
        <f>I44&amp;".1"</f>
        <v>...1.1</v>
      </c>
      <c r="K45" s="793"/>
      <c r="L45" s="794" t="s">
        <v>480</v>
      </c>
      <c r="P45" s="1211"/>
      <c r="Q45" s="1211">
        <v>1</v>
      </c>
      <c r="R45" s="215"/>
      <c r="S45" s="725" t="str">
        <f>$J45</f>
        <v>...1.1</v>
      </c>
      <c r="T45" s="164" t="s">
        <v>481</v>
      </c>
      <c r="U45" s="170"/>
      <c r="V45" s="1275"/>
      <c r="W45" s="1276"/>
      <c r="X45" s="1276"/>
      <c r="Y45" s="1276"/>
      <c r="Z45" s="1276"/>
      <c r="AA45" s="1276"/>
      <c r="AB45" s="1277"/>
      <c r="AC45" s="1275"/>
      <c r="AD45" s="1276"/>
      <c r="AE45" s="1276"/>
      <c r="AF45" s="1276"/>
      <c r="AG45" s="1276"/>
      <c r="AH45" s="1276"/>
      <c r="AI45" s="1276"/>
      <c r="AJ45" s="1277"/>
      <c r="AK45" s="778" t="s">
        <v>1689</v>
      </c>
      <c r="AM45" s="66"/>
      <c r="AN45" s="66" t="str">
        <f t="shared" si="1"/>
        <v>Группа потребителей</v>
      </c>
      <c r="AO45" s="66"/>
      <c r="AP45" s="66"/>
    </row>
    <row r="46" spans="1:42" ht="23.25" customHeight="1">
      <c r="A46" s="793" t="s">
        <v>228</v>
      </c>
      <c r="B46" s="793" t="s">
        <v>229</v>
      </c>
      <c r="C46" s="793" t="s">
        <v>230</v>
      </c>
      <c r="D46" s="793" t="s">
        <v>1699</v>
      </c>
      <c r="E46" s="1288"/>
      <c r="F46" s="1288"/>
      <c r="G46" s="1288"/>
      <c r="H46" s="1288"/>
      <c r="I46" s="1290"/>
      <c r="J46" s="1290"/>
      <c r="K46" s="1289" t="str">
        <f>J45&amp;".1"</f>
        <v>...1.1.1</v>
      </c>
      <c r="L46" s="794"/>
      <c r="P46" s="1211"/>
      <c r="Q46" s="1211"/>
      <c r="R46" s="215">
        <v>1</v>
      </c>
      <c r="S46" s="725" t="str">
        <f>$K46</f>
        <v>...1.1.1</v>
      </c>
      <c r="T46" s="836"/>
      <c r="U46" s="170"/>
      <c r="V46" s="376"/>
      <c r="W46" s="376"/>
      <c r="X46" s="792"/>
      <c r="Y46" s="1285"/>
      <c r="Z46" s="1284" t="s">
        <v>59</v>
      </c>
      <c r="AA46" s="1285"/>
      <c r="AB46" s="1284" t="s">
        <v>59</v>
      </c>
      <c r="AC46" s="317"/>
      <c r="AD46" s="317"/>
      <c r="AE46" s="752"/>
      <c r="AF46" s="1291"/>
      <c r="AG46" s="1092" t="s">
        <v>59</v>
      </c>
      <c r="AH46" s="1293"/>
      <c r="AI46" s="1092" t="s">
        <v>57</v>
      </c>
      <c r="AJ46" s="837"/>
      <c r="AK46"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3" t="s">
        <v>228</v>
      </c>
      <c r="B47" s="793" t="s">
        <v>229</v>
      </c>
      <c r="C47" s="793" t="s">
        <v>230</v>
      </c>
      <c r="D47" s="793" t="s">
        <v>1699</v>
      </c>
      <c r="E47" s="1288"/>
      <c r="F47" s="1288"/>
      <c r="G47" s="1288"/>
      <c r="H47" s="1288"/>
      <c r="I47" s="1290"/>
      <c r="J47" s="1290"/>
      <c r="K47" s="1289"/>
      <c r="L47" s="794"/>
      <c r="P47" s="1211"/>
      <c r="Q47" s="1211"/>
      <c r="R47" s="215"/>
      <c r="S47" s="62"/>
      <c r="T47" s="170"/>
      <c r="U47" s="170"/>
      <c r="V47" s="376"/>
      <c r="W47" s="376"/>
      <c r="X47" s="198" t="str">
        <f>Y46&amp;"-"&amp;AA46</f>
        <v>-</v>
      </c>
      <c r="Y47" s="1284"/>
      <c r="Z47" s="1284"/>
      <c r="AA47" s="1284"/>
      <c r="AB47" s="1284"/>
      <c r="AC47" s="196"/>
      <c r="AD47" s="196"/>
      <c r="AE47" s="198" t="str">
        <f>AF46&amp;"-"&amp;AH46</f>
        <v>-</v>
      </c>
      <c r="AF47" s="1292"/>
      <c r="AG47" s="1092"/>
      <c r="AH47" s="1294"/>
      <c r="AI47" s="1092"/>
      <c r="AJ47" s="396"/>
      <c r="AK47" s="1393"/>
      <c r="AM47" s="66"/>
      <c r="AN47" s="66" t="str">
        <f t="shared" si="1"/>
        <v/>
      </c>
      <c r="AO47" s="66"/>
      <c r="AP47" s="66"/>
    </row>
    <row r="48" spans="1:42" ht="21" customHeight="1">
      <c r="A48" s="793" t="s">
        <v>228</v>
      </c>
      <c r="B48" s="793" t="s">
        <v>229</v>
      </c>
      <c r="C48" s="793" t="s">
        <v>230</v>
      </c>
      <c r="D48" s="793" t="s">
        <v>1699</v>
      </c>
      <c r="E48" s="1288"/>
      <c r="F48" s="1288"/>
      <c r="G48" s="1288"/>
      <c r="H48" s="1288"/>
      <c r="I48" s="1290"/>
      <c r="J48" s="1289"/>
      <c r="K48" s="793"/>
      <c r="L48" s="794"/>
      <c r="P48" s="1211"/>
      <c r="Q48" s="1211"/>
      <c r="R48" s="214"/>
      <c r="S48" s="767"/>
      <c r="T48" s="165" t="s">
        <v>1690</v>
      </c>
      <c r="U48" s="221"/>
      <c r="V48" s="221"/>
      <c r="W48" s="221"/>
      <c r="X48" s="221"/>
      <c r="Y48" s="221"/>
      <c r="Z48" s="221"/>
      <c r="AA48" s="221"/>
      <c r="AB48" s="221"/>
      <c r="AC48" s="221"/>
      <c r="AD48" s="221"/>
      <c r="AE48" s="221"/>
      <c r="AF48" s="221"/>
      <c r="AG48" s="221"/>
      <c r="AH48" s="221"/>
      <c r="AI48" s="221"/>
      <c r="AJ48" s="221"/>
      <c r="AK48" s="753" t="s">
        <v>1691</v>
      </c>
      <c r="AM48" s="66"/>
      <c r="AN48" s="66" t="str">
        <f t="shared" si="1"/>
        <v>Добавить значение признака дифференциации</v>
      </c>
      <c r="AO48" s="66"/>
      <c r="AP48" s="66"/>
    </row>
    <row r="49" spans="1:42" ht="21" customHeight="1">
      <c r="A49" s="793" t="s">
        <v>228</v>
      </c>
      <c r="B49" s="793" t="s">
        <v>229</v>
      </c>
      <c r="C49" s="793" t="s">
        <v>230</v>
      </c>
      <c r="D49" s="793" t="s">
        <v>1699</v>
      </c>
      <c r="E49" s="1288"/>
      <c r="F49" s="1288"/>
      <c r="G49" s="1288"/>
      <c r="H49" s="1288"/>
      <c r="I49" s="1289"/>
      <c r="J49" s="793"/>
      <c r="K49" s="793"/>
      <c r="L49" s="794"/>
      <c r="P49" s="1211"/>
      <c r="Q49" s="119"/>
      <c r="R49" s="214"/>
      <c r="S49" s="767"/>
      <c r="T49" s="219" t="s">
        <v>486</v>
      </c>
      <c r="U49" s="221"/>
      <c r="V49" s="221"/>
      <c r="W49" s="221"/>
      <c r="X49" s="221"/>
      <c r="Y49" s="221"/>
      <c r="Z49" s="221"/>
      <c r="AA49" s="221"/>
      <c r="AB49" s="197"/>
      <c r="AC49" s="221"/>
      <c r="AD49" s="221"/>
      <c r="AE49" s="221"/>
      <c r="AF49" s="221"/>
      <c r="AG49" s="221"/>
      <c r="AH49" s="221"/>
      <c r="AI49" s="197"/>
      <c r="AJ49" s="221"/>
      <c r="AK49" s="838"/>
      <c r="AM49" s="66"/>
      <c r="AN49" s="66" t="str">
        <f t="shared" si="1"/>
        <v>Добавить группу потребителей</v>
      </c>
      <c r="AO49" s="66"/>
      <c r="AP49" s="66"/>
    </row>
    <row r="50" spans="1:42" ht="21" customHeight="1">
      <c r="A50" s="793" t="s">
        <v>228</v>
      </c>
      <c r="B50" s="793" t="s">
        <v>229</v>
      </c>
      <c r="C50" s="793" t="s">
        <v>230</v>
      </c>
      <c r="D50" s="793" t="s">
        <v>1699</v>
      </c>
      <c r="E50" s="1288"/>
      <c r="F50" s="1288"/>
      <c r="G50" s="1288"/>
      <c r="H50" s="1287"/>
      <c r="I50" s="793"/>
      <c r="J50" s="793"/>
      <c r="K50" s="793"/>
      <c r="L50" s="794"/>
      <c r="M50" s="433"/>
      <c r="N50" s="433"/>
      <c r="O50" s="60"/>
      <c r="P50" s="2"/>
      <c r="Q50" s="224"/>
      <c r="R50" s="213"/>
      <c r="S50" s="767"/>
      <c r="T50" s="104" t="s">
        <v>1692</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228</v>
      </c>
      <c r="B51" s="142" t="s">
        <v>229</v>
      </c>
      <c r="C51" s="142"/>
      <c r="D51" s="142"/>
      <c r="E51" s="1288"/>
      <c r="F51" s="1287"/>
      <c r="G51" s="142"/>
      <c r="H51" s="142"/>
      <c r="I51" s="142"/>
      <c r="J51" s="142"/>
      <c r="K51" s="142"/>
      <c r="L51" s="355"/>
      <c r="M51" s="784"/>
      <c r="N51" s="784"/>
      <c r="P51" s="101"/>
      <c r="Q51" s="780"/>
      <c r="R51" s="101"/>
      <c r="S51" s="785"/>
      <c r="T51" s="787" t="s">
        <v>445</v>
      </c>
      <c r="U51" s="323"/>
      <c r="V51" s="323"/>
      <c r="W51" s="323"/>
      <c r="X51" s="323"/>
      <c r="Y51" s="323"/>
      <c r="Z51" s="323"/>
      <c r="AA51" s="323"/>
      <c r="AB51" s="323"/>
      <c r="AC51" s="323"/>
      <c r="AD51" s="323"/>
      <c r="AE51" s="323"/>
      <c r="AF51" s="323"/>
      <c r="AG51" s="323"/>
      <c r="AH51" s="323"/>
      <c r="AI51" s="323"/>
      <c r="AJ51" s="323"/>
      <c r="AK51" s="323"/>
      <c r="AM51" s="66"/>
      <c r="AN51" s="66" t="str">
        <f t="shared" si="1"/>
        <v>Добавить централизованную систему для дифференциации</v>
      </c>
      <c r="AO51" s="66"/>
      <c r="AP51" s="66"/>
    </row>
    <row r="52" spans="1:42" s="65" customFormat="1" ht="0" hidden="1" customHeight="1">
      <c r="A52" s="142" t="s">
        <v>228</v>
      </c>
      <c r="B52" s="142"/>
      <c r="C52" s="142"/>
      <c r="D52" s="142"/>
      <c r="E52" s="1287"/>
      <c r="F52" s="142"/>
      <c r="G52" s="142"/>
      <c r="H52" s="142"/>
      <c r="I52" s="142"/>
      <c r="J52" s="142"/>
      <c r="K52" s="142"/>
      <c r="L52" s="355"/>
      <c r="M52" s="784"/>
      <c r="N52" s="784"/>
      <c r="P52" s="101"/>
      <c r="Q52" s="780"/>
      <c r="R52" s="101"/>
      <c r="S52" s="785"/>
      <c r="T52" s="787" t="s">
        <v>446</v>
      </c>
      <c r="U52" s="323"/>
      <c r="V52" s="323"/>
      <c r="W52" s="323"/>
      <c r="X52" s="323"/>
      <c r="Y52" s="323"/>
      <c r="Z52" s="323"/>
      <c r="AA52" s="323"/>
      <c r="AB52" s="323"/>
      <c r="AC52" s="323"/>
      <c r="AD52" s="323"/>
      <c r="AE52" s="323"/>
      <c r="AF52" s="323"/>
      <c r="AG52" s="323"/>
      <c r="AH52" s="323"/>
      <c r="AI52" s="323"/>
      <c r="AJ52" s="323"/>
      <c r="AK52" s="323"/>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4"/>
      <c r="N53" s="784"/>
      <c r="P53" s="101"/>
      <c r="Q53" s="780"/>
      <c r="R53" s="101"/>
      <c r="S53" s="785"/>
      <c r="T53" s="787" t="s">
        <v>447</v>
      </c>
      <c r="U53" s="323"/>
      <c r="V53" s="323"/>
      <c r="W53" s="323"/>
      <c r="X53" s="323"/>
      <c r="Y53" s="323"/>
      <c r="Z53" s="323"/>
      <c r="AA53" s="323"/>
      <c r="AB53" s="323"/>
      <c r="AC53" s="323"/>
      <c r="AD53" s="323"/>
      <c r="AE53" s="323"/>
      <c r="AF53" s="323"/>
      <c r="AG53" s="323"/>
      <c r="AH53" s="323"/>
      <c r="AI53" s="323"/>
      <c r="AJ53" s="323"/>
      <c r="AK53" s="323"/>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519</v>
      </c>
      <c r="T55" s="1286" t="s">
        <v>1700</v>
      </c>
      <c r="U55" s="1286"/>
      <c r="V55" s="1286"/>
      <c r="W55" s="1286"/>
      <c r="X55" s="1286"/>
      <c r="Y55" s="1286"/>
      <c r="Z55" s="1286"/>
      <c r="AA55" s="1286"/>
      <c r="AB55" s="1286"/>
      <c r="AC55" s="1286"/>
      <c r="AD55" s="1286"/>
      <c r="AE55" s="1286"/>
      <c r="AF55" s="1286"/>
      <c r="AG55" s="1286"/>
      <c r="AH55" s="1286"/>
      <c r="AI55" s="1286"/>
      <c r="AJ55" s="1286"/>
      <c r="AK55" s="1286"/>
    </row>
    <row r="56" spans="1:42" ht="14.25" hidden="1" customHeight="1">
      <c r="O56" s="60"/>
    </row>
    <row r="57" spans="1:42" ht="14.25" hidden="1" customHeight="1">
      <c r="O57" s="60"/>
      <c r="S57" s="204" t="s">
        <v>519</v>
      </c>
      <c r="T57" s="1286" t="s">
        <v>1701</v>
      </c>
      <c r="U57" s="1286"/>
      <c r="V57" s="1286"/>
      <c r="W57" s="1286"/>
      <c r="X57" s="1286"/>
      <c r="Y57" s="1286"/>
      <c r="Z57" s="1286"/>
      <c r="AA57" s="1286"/>
      <c r="AB57" s="1286"/>
      <c r="AC57" s="1286"/>
      <c r="AD57" s="1286"/>
      <c r="AE57" s="1286"/>
      <c r="AF57" s="1286"/>
      <c r="AG57" s="1286"/>
      <c r="AH57" s="1286"/>
      <c r="AI57" s="1286"/>
      <c r="AJ57" s="1286"/>
      <c r="AK57" s="1286"/>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2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2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xr:uid="{00000000-0002-0000-2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2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56856-E3B6-3D6A-33D9-A77B976C03E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3"/>
      <c r="B2" s="793"/>
      <c r="C2" s="793"/>
      <c r="D2" s="793"/>
      <c r="E2" s="1287">
        <v>1</v>
      </c>
      <c r="F2" s="793"/>
      <c r="G2" s="793"/>
      <c r="H2" s="793"/>
      <c r="I2" s="793"/>
      <c r="J2" s="793"/>
      <c r="K2" s="793"/>
      <c r="L2" s="794"/>
      <c r="M2" s="433"/>
      <c r="N2" s="433"/>
      <c r="O2" s="433"/>
      <c r="Q2" s="2"/>
      <c r="R2" s="213"/>
      <c r="S2" s="725" t="e">
        <f>INDEX(PT_DIFFERENTIATION_NUM_NTAR,MATCH(A2,PT_DIFFERENTIATION_NTAR_ID,0))</f>
        <v>#N/A</v>
      </c>
      <c r="T2" s="64" t="s">
        <v>139</v>
      </c>
      <c r="U2" s="170"/>
      <c r="V2" s="1281"/>
      <c r="W2" s="1282"/>
      <c r="X2" s="1282"/>
      <c r="Y2" s="1282"/>
      <c r="Z2" s="1282"/>
      <c r="AA2" s="1282"/>
      <c r="AB2" s="1283"/>
      <c r="AC2" s="1281" t="e">
        <f>INDEX(PT_DIFFERENTIATION_NTAR,MATCH(A2,PT_DIFFERENTIATION_NTAR_ID,0))</f>
        <v>#N/A</v>
      </c>
      <c r="AD2" s="1282"/>
      <c r="AE2" s="1282"/>
      <c r="AF2" s="1282"/>
      <c r="AG2" s="1282"/>
      <c r="AH2" s="1282"/>
      <c r="AI2" s="1282"/>
      <c r="AJ2" s="1283"/>
      <c r="AK2" s="7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3"/>
      <c r="B3" s="793"/>
      <c r="C3" s="793"/>
      <c r="D3" s="793"/>
      <c r="E3" s="1288"/>
      <c r="F3" s="1287">
        <v>1</v>
      </c>
      <c r="G3" s="793"/>
      <c r="H3" s="793"/>
      <c r="I3" s="793"/>
      <c r="J3" s="793"/>
      <c r="K3" s="793"/>
      <c r="L3" s="794"/>
      <c r="M3" s="433"/>
      <c r="N3" s="433"/>
      <c r="O3" s="433"/>
      <c r="P3" s="56"/>
      <c r="Q3" s="210"/>
      <c r="R3" s="211"/>
      <c r="S3" s="725" t="e">
        <f>INDEX(PT_DIFFERENTIATION_NUM_TER,MATCH(B3,PT_DIFFERENTIATION_TER_ID,0))</f>
        <v>#N/A</v>
      </c>
      <c r="T3" s="178" t="s">
        <v>471</v>
      </c>
      <c r="U3" s="170"/>
      <c r="V3" s="1281"/>
      <c r="W3" s="1282"/>
      <c r="X3" s="1282"/>
      <c r="Y3" s="1282"/>
      <c r="Z3" s="1282"/>
      <c r="AA3" s="1282"/>
      <c r="AB3" s="1283"/>
      <c r="AC3" s="1281" t="e">
        <f>INDEX(PT_DIFFERENTIATION_TER,MATCH(B3,PT_DIFFERENTIATION_TER_ID,0))</f>
        <v>#N/A</v>
      </c>
      <c r="AD3" s="1282"/>
      <c r="AE3" s="1282"/>
      <c r="AF3" s="1282"/>
      <c r="AG3" s="1282"/>
      <c r="AH3" s="1282"/>
      <c r="AI3" s="1282"/>
      <c r="AJ3" s="1283"/>
      <c r="AK3" s="753" t="s">
        <v>472</v>
      </c>
      <c r="AM3" s="66"/>
      <c r="AN3" s="66" t="str">
        <f t="shared" si="0"/>
        <v>Территория действия тарифа</v>
      </c>
      <c r="AO3" s="66"/>
      <c r="AP3" s="66"/>
    </row>
    <row r="4" spans="1:42" ht="23.25" hidden="1" customHeight="1">
      <c r="A4" s="793"/>
      <c r="B4" s="793"/>
      <c r="C4" s="793"/>
      <c r="D4" s="793"/>
      <c r="E4" s="1288"/>
      <c r="F4" s="1288"/>
      <c r="G4" s="1287">
        <v>1</v>
      </c>
      <c r="H4" s="793"/>
      <c r="I4" s="793"/>
      <c r="J4" s="793"/>
      <c r="K4" s="793"/>
      <c r="L4" s="794"/>
      <c r="M4" s="433"/>
      <c r="N4" s="433"/>
      <c r="O4" s="433"/>
      <c r="P4" s="212"/>
      <c r="Q4" s="210"/>
      <c r="R4" s="211"/>
      <c r="S4" s="725" t="e">
        <f>INDEX(PT_DIFFERENTIATION_NUM_CS,MATCH(C4,PT_DIFFERENTIATION_CS_ID,0))</f>
        <v>#N/A</v>
      </c>
      <c r="T4" s="179" t="s">
        <v>1685</v>
      </c>
      <c r="U4" s="170"/>
      <c r="V4" s="1281"/>
      <c r="W4" s="1282"/>
      <c r="X4" s="1282"/>
      <c r="Y4" s="1282"/>
      <c r="Z4" s="1282"/>
      <c r="AA4" s="1282"/>
      <c r="AB4" s="1283"/>
      <c r="AC4" s="1281" t="e">
        <f>INDEX(PT_DIFFERENTIATION_CS,MATCH(C4,PT_DIFFERENTIATION_CS_ID,0))</f>
        <v>#N/A</v>
      </c>
      <c r="AD4" s="1282"/>
      <c r="AE4" s="1282"/>
      <c r="AF4" s="1282"/>
      <c r="AG4" s="1282"/>
      <c r="AH4" s="1282"/>
      <c r="AI4" s="1282"/>
      <c r="AJ4" s="1283"/>
      <c r="AK4" s="753" t="s">
        <v>1686</v>
      </c>
      <c r="AM4" s="66"/>
      <c r="AN4" s="66" t="str">
        <f t="shared" si="0"/>
        <v>Наименование централизованной системы холодного водоснабжения</v>
      </c>
      <c r="AO4" s="66"/>
      <c r="AP4" s="66"/>
    </row>
    <row r="5" spans="1:42" ht="23.25" hidden="1" customHeight="1">
      <c r="A5" s="793"/>
      <c r="B5" s="793"/>
      <c r="C5" s="793"/>
      <c r="D5" s="793"/>
      <c r="E5" s="1288"/>
      <c r="F5" s="1288"/>
      <c r="G5" s="1288"/>
      <c r="H5" s="1288"/>
      <c r="I5" s="1289" t="e">
        <f>S4&amp;".1"</f>
        <v>#N/A</v>
      </c>
      <c r="J5" s="793"/>
      <c r="K5" s="793"/>
      <c r="L5" s="794"/>
      <c r="P5" s="1211">
        <v>1</v>
      </c>
      <c r="Q5" s="119"/>
      <c r="R5" s="214"/>
      <c r="S5" s="725" t="e">
        <f>$I5</f>
        <v>#N/A</v>
      </c>
      <c r="T5" s="163" t="s">
        <v>1687</v>
      </c>
      <c r="U5" s="170"/>
      <c r="V5" s="1387"/>
      <c r="W5" s="1388"/>
      <c r="X5" s="1388"/>
      <c r="Y5" s="1388"/>
      <c r="Z5" s="1388"/>
      <c r="AA5" s="1388"/>
      <c r="AB5" s="1389"/>
      <c r="AC5" s="1390"/>
      <c r="AD5" s="1391"/>
      <c r="AE5" s="1391"/>
      <c r="AF5" s="1391"/>
      <c r="AG5" s="1391"/>
      <c r="AH5" s="1391"/>
      <c r="AI5" s="1391"/>
      <c r="AJ5" s="1392"/>
      <c r="AK5" s="753" t="s">
        <v>1688</v>
      </c>
      <c r="AM5" s="66"/>
      <c r="AN5" s="66" t="str">
        <f t="shared" si="0"/>
        <v>Наименование признака дифференциации</v>
      </c>
      <c r="AO5" s="66"/>
      <c r="AP5" s="66"/>
    </row>
    <row r="6" spans="1:42" ht="23.25" hidden="1" customHeight="1">
      <c r="A6" s="793"/>
      <c r="B6" s="793"/>
      <c r="C6" s="793"/>
      <c r="D6" s="793"/>
      <c r="E6" s="1288"/>
      <c r="F6" s="1288"/>
      <c r="G6" s="1288"/>
      <c r="H6" s="1288"/>
      <c r="I6" s="1290"/>
      <c r="J6" s="1289" t="e">
        <f>I5&amp;".1"</f>
        <v>#N/A</v>
      </c>
      <c r="K6" s="793"/>
      <c r="L6" s="794" t="s">
        <v>480</v>
      </c>
      <c r="P6" s="1211"/>
      <c r="Q6" s="1211">
        <v>1</v>
      </c>
      <c r="R6" s="215"/>
      <c r="S6" s="725" t="e">
        <f>$J6</f>
        <v>#N/A</v>
      </c>
      <c r="T6" s="164" t="s">
        <v>481</v>
      </c>
      <c r="U6" s="170"/>
      <c r="V6" s="1275"/>
      <c r="W6" s="1276"/>
      <c r="X6" s="1276"/>
      <c r="Y6" s="1276"/>
      <c r="Z6" s="1276"/>
      <c r="AA6" s="1276"/>
      <c r="AB6" s="1277"/>
      <c r="AC6" s="1275"/>
      <c r="AD6" s="1276"/>
      <c r="AE6" s="1276"/>
      <c r="AF6" s="1276"/>
      <c r="AG6" s="1276"/>
      <c r="AH6" s="1276"/>
      <c r="AI6" s="1276"/>
      <c r="AJ6" s="1277"/>
      <c r="AK6" s="778" t="s">
        <v>1689</v>
      </c>
      <c r="AM6" s="66"/>
      <c r="AN6" s="66" t="str">
        <f t="shared" si="0"/>
        <v>Группа потребителей</v>
      </c>
      <c r="AO6" s="66"/>
      <c r="AP6" s="66"/>
    </row>
    <row r="7" spans="1:42" ht="23.25" hidden="1" customHeight="1">
      <c r="A7" s="793"/>
      <c r="B7" s="793"/>
      <c r="C7" s="793"/>
      <c r="D7" s="793"/>
      <c r="E7" s="1288"/>
      <c r="F7" s="1288"/>
      <c r="G7" s="1288"/>
      <c r="H7" s="1288"/>
      <c r="I7" s="1290"/>
      <c r="J7" s="1290"/>
      <c r="K7" s="1289" t="e">
        <f>J6&amp;".1"</f>
        <v>#N/A</v>
      </c>
      <c r="L7" s="794"/>
      <c r="P7" s="1211"/>
      <c r="Q7" s="1211"/>
      <c r="R7" s="215">
        <v>1</v>
      </c>
      <c r="S7" s="725" t="e">
        <f>$K7</f>
        <v>#N/A</v>
      </c>
      <c r="T7" s="836"/>
      <c r="U7" s="170"/>
      <c r="V7" s="317"/>
      <c r="W7" s="317"/>
      <c r="X7" s="752"/>
      <c r="Y7" s="1291"/>
      <c r="Z7" s="1092" t="s">
        <v>59</v>
      </c>
      <c r="AA7" s="1291"/>
      <c r="AB7" s="1092" t="s">
        <v>59</v>
      </c>
      <c r="AC7" s="317"/>
      <c r="AD7" s="317"/>
      <c r="AE7" s="752"/>
      <c r="AF7" s="1291"/>
      <c r="AG7" s="1092" t="s">
        <v>59</v>
      </c>
      <c r="AH7" s="1293"/>
      <c r="AI7" s="1092" t="s">
        <v>59</v>
      </c>
      <c r="AJ7" s="837"/>
      <c r="AK7"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3"/>
      <c r="B8" s="793"/>
      <c r="C8" s="793"/>
      <c r="D8" s="793"/>
      <c r="E8" s="1288"/>
      <c r="F8" s="1288"/>
      <c r="G8" s="1288"/>
      <c r="H8" s="1288"/>
      <c r="I8" s="1290"/>
      <c r="J8" s="1290"/>
      <c r="K8" s="1289"/>
      <c r="L8" s="794"/>
      <c r="P8" s="1211"/>
      <c r="Q8" s="1211"/>
      <c r="R8" s="215"/>
      <c r="S8" s="62"/>
      <c r="T8" s="170"/>
      <c r="U8" s="170"/>
      <c r="V8" s="196"/>
      <c r="W8" s="196"/>
      <c r="X8" s="198" t="str">
        <f>Y7&amp;"-"&amp;AA7</f>
        <v>-</v>
      </c>
      <c r="Y8" s="1292"/>
      <c r="Z8" s="1092"/>
      <c r="AA8" s="1292"/>
      <c r="AB8" s="1092"/>
      <c r="AC8" s="196"/>
      <c r="AD8" s="196"/>
      <c r="AE8" s="198" t="str">
        <f>AF7&amp;"-"&amp;AH7</f>
        <v>-</v>
      </c>
      <c r="AF8" s="1292"/>
      <c r="AG8" s="1092"/>
      <c r="AH8" s="1294"/>
      <c r="AI8" s="1092"/>
      <c r="AJ8" s="396"/>
      <c r="AK8" s="1393"/>
      <c r="AM8" s="66"/>
      <c r="AN8" s="66" t="str">
        <f t="shared" si="0"/>
        <v/>
      </c>
      <c r="AO8" s="66"/>
      <c r="AP8" s="66"/>
    </row>
    <row r="9" spans="1:42" ht="21" hidden="1" customHeight="1">
      <c r="A9" s="793"/>
      <c r="B9" s="793"/>
      <c r="C9" s="793"/>
      <c r="D9" s="793"/>
      <c r="E9" s="1288"/>
      <c r="F9" s="1288"/>
      <c r="G9" s="1288"/>
      <c r="H9" s="1288"/>
      <c r="I9" s="1290"/>
      <c r="J9" s="1289"/>
      <c r="K9" s="793"/>
      <c r="L9" s="794"/>
      <c r="P9" s="1211"/>
      <c r="Q9" s="1211"/>
      <c r="R9" s="214"/>
      <c r="S9" s="767"/>
      <c r="T9" s="165" t="s">
        <v>1690</v>
      </c>
      <c r="U9" s="221"/>
      <c r="V9" s="221"/>
      <c r="W9" s="221"/>
      <c r="X9" s="221"/>
      <c r="Y9" s="221"/>
      <c r="Z9" s="221"/>
      <c r="AA9" s="221"/>
      <c r="AB9" s="221"/>
      <c r="AC9" s="221"/>
      <c r="AD9" s="221"/>
      <c r="AE9" s="221"/>
      <c r="AF9" s="221"/>
      <c r="AG9" s="221"/>
      <c r="AH9" s="221"/>
      <c r="AI9" s="221"/>
      <c r="AJ9" s="221"/>
      <c r="AK9" s="753" t="s">
        <v>1691</v>
      </c>
      <c r="AM9" s="66"/>
      <c r="AN9" s="66" t="str">
        <f t="shared" si="0"/>
        <v>Добавить значение признака дифференциации</v>
      </c>
      <c r="AO9" s="66"/>
      <c r="AP9" s="66"/>
    </row>
    <row r="10" spans="1:42" ht="21" hidden="1" customHeight="1">
      <c r="A10" s="793"/>
      <c r="B10" s="793"/>
      <c r="C10" s="793"/>
      <c r="D10" s="793"/>
      <c r="E10" s="1288"/>
      <c r="F10" s="1288"/>
      <c r="G10" s="1288"/>
      <c r="H10" s="1288"/>
      <c r="I10" s="1289"/>
      <c r="J10" s="793"/>
      <c r="K10" s="793"/>
      <c r="L10" s="794"/>
      <c r="P10" s="1211"/>
      <c r="Q10" s="119"/>
      <c r="R10" s="214"/>
      <c r="S10" s="767"/>
      <c r="T10" s="219" t="s">
        <v>486</v>
      </c>
      <c r="U10" s="221"/>
      <c r="V10" s="221"/>
      <c r="W10" s="221"/>
      <c r="X10" s="221"/>
      <c r="Y10" s="221"/>
      <c r="Z10" s="221"/>
      <c r="AA10" s="221"/>
      <c r="AB10" s="197"/>
      <c r="AC10" s="221"/>
      <c r="AD10" s="221"/>
      <c r="AE10" s="221"/>
      <c r="AF10" s="221"/>
      <c r="AG10" s="221"/>
      <c r="AH10" s="221"/>
      <c r="AI10" s="197"/>
      <c r="AJ10" s="221"/>
      <c r="AK10" s="838"/>
      <c r="AM10" s="66"/>
      <c r="AN10" s="66" t="str">
        <f t="shared" si="0"/>
        <v>Добавить группу потребителей</v>
      </c>
      <c r="AO10" s="66"/>
      <c r="AP10" s="66"/>
    </row>
    <row r="11" spans="1:42" ht="21" hidden="1" customHeight="1">
      <c r="A11" s="793"/>
      <c r="B11" s="793"/>
      <c r="C11" s="793"/>
      <c r="D11" s="793"/>
      <c r="E11" s="1288"/>
      <c r="F11" s="1288"/>
      <c r="G11" s="1288"/>
      <c r="H11" s="1287"/>
      <c r="I11" s="793"/>
      <c r="J11" s="793"/>
      <c r="K11" s="793"/>
      <c r="L11" s="794"/>
      <c r="M11" s="433"/>
      <c r="N11" s="433"/>
      <c r="O11" s="60"/>
      <c r="P11" s="2"/>
      <c r="Q11" s="224"/>
      <c r="R11" s="213"/>
      <c r="S11" s="767"/>
      <c r="T11" s="104" t="s">
        <v>1692</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88"/>
      <c r="F12" s="1287"/>
      <c r="G12" s="142"/>
      <c r="H12" s="142"/>
      <c r="I12" s="142"/>
      <c r="J12" s="142"/>
      <c r="K12" s="142"/>
      <c r="L12" s="355"/>
      <c r="M12" s="784"/>
      <c r="N12" s="784"/>
      <c r="P12" s="101"/>
      <c r="Q12" s="780"/>
      <c r="R12" s="101"/>
      <c r="S12" s="785"/>
      <c r="T12" s="787" t="s">
        <v>445</v>
      </c>
      <c r="U12" s="323"/>
      <c r="V12" s="323"/>
      <c r="W12" s="323"/>
      <c r="X12" s="323"/>
      <c r="Y12" s="323"/>
      <c r="Z12" s="323"/>
      <c r="AA12" s="323"/>
      <c r="AB12" s="323"/>
      <c r="AC12" s="323"/>
      <c r="AD12" s="323"/>
      <c r="AE12" s="323"/>
      <c r="AF12" s="323"/>
      <c r="AG12" s="323"/>
      <c r="AH12" s="323"/>
      <c r="AI12" s="323"/>
      <c r="AJ12" s="323"/>
      <c r="AK12" s="323"/>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87"/>
      <c r="F13" s="142"/>
      <c r="G13" s="142"/>
      <c r="H13" s="142"/>
      <c r="I13" s="142"/>
      <c r="J13" s="142"/>
      <c r="K13" s="142"/>
      <c r="L13" s="355"/>
      <c r="M13" s="784"/>
      <c r="N13" s="784"/>
      <c r="P13" s="101"/>
      <c r="Q13" s="780"/>
      <c r="R13" s="101"/>
      <c r="S13" s="785"/>
      <c r="T13" s="787" t="s">
        <v>446</v>
      </c>
      <c r="U13" s="323"/>
      <c r="V13" s="323"/>
      <c r="W13" s="323"/>
      <c r="X13" s="323"/>
      <c r="Y13" s="323"/>
      <c r="Z13" s="323"/>
      <c r="AA13" s="323"/>
      <c r="AB13" s="323"/>
      <c r="AC13" s="323"/>
      <c r="AD13" s="323"/>
      <c r="AE13" s="323"/>
      <c r="AF13" s="323"/>
      <c r="AG13" s="323"/>
      <c r="AH13" s="323"/>
      <c r="AI13" s="323"/>
      <c r="AJ13" s="323"/>
      <c r="AK13" s="323"/>
      <c r="AM13" s="66"/>
      <c r="AN13" s="66" t="str">
        <f t="shared" si="0"/>
        <v>Добавить территорию для дифференциации</v>
      </c>
      <c r="AO13" s="66"/>
      <c r="AP13" s="66"/>
    </row>
    <row r="14" spans="1:42" ht="14.25" hidden="1" customHeight="1"/>
    <row r="15" spans="1:42" ht="14.25" hidden="1" customHeight="1">
      <c r="AC15" s="376"/>
      <c r="AD15" s="376"/>
      <c r="AE15" s="792"/>
      <c r="AF15" s="1285"/>
      <c r="AG15" s="1284" t="s">
        <v>59</v>
      </c>
      <c r="AH15" s="1285"/>
      <c r="AI15" s="1284" t="s">
        <v>59</v>
      </c>
    </row>
    <row r="16" spans="1:42" ht="14.25" hidden="1" customHeight="1">
      <c r="AC16" s="376"/>
      <c r="AD16" s="376"/>
      <c r="AE16" s="198" t="str">
        <f>AF15&amp;"-"&amp;AH15</f>
        <v>-</v>
      </c>
      <c r="AF16" s="1284"/>
      <c r="AG16" s="1284"/>
      <c r="AH16" s="1284"/>
      <c r="AI16" s="1284"/>
    </row>
    <row r="17" spans="1:42" ht="14.25" hidden="1" customHeight="1"/>
    <row r="18" spans="1:42" s="60" customFormat="1" ht="22.5" hidden="1" customHeight="1">
      <c r="L18" s="312"/>
      <c r="M18" s="519"/>
      <c r="N18" s="519"/>
      <c r="O18" s="795" t="s">
        <v>488</v>
      </c>
      <c r="P18" s="519"/>
      <c r="Q18" s="796"/>
      <c r="R18" s="796"/>
      <c r="S18" s="433"/>
      <c r="Y18" s="795"/>
      <c r="AA18" s="795"/>
      <c r="AF18" s="795"/>
      <c r="AH18" s="795"/>
      <c r="AL18" s="65"/>
      <c r="AM18" s="65"/>
      <c r="AN18" s="65"/>
      <c r="AO18" s="65"/>
      <c r="AP18" s="65"/>
    </row>
    <row r="19" spans="1:42" s="60" customFormat="1" ht="14.25" hidden="1" customHeight="1">
      <c r="L19" s="312"/>
      <c r="M19" s="519"/>
      <c r="N19" s="519"/>
      <c r="O19" s="519"/>
      <c r="P19" s="519"/>
      <c r="Q19" s="796"/>
      <c r="R19" s="796"/>
      <c r="S19" s="433"/>
      <c r="AL19" s="65"/>
      <c r="AM19" s="65"/>
      <c r="AN19" s="65"/>
      <c r="AO19" s="65"/>
      <c r="AP19" s="65"/>
    </row>
    <row r="20" spans="1:42" s="60" customFormat="1" ht="12" hidden="1" customHeight="1">
      <c r="L20" s="312"/>
      <c r="M20" s="519"/>
      <c r="N20" s="519"/>
      <c r="O20" s="794" t="s">
        <v>489</v>
      </c>
      <c r="P20" s="519"/>
      <c r="Q20" s="839"/>
      <c r="R20" s="839"/>
      <c r="S20" s="433"/>
      <c r="T20" s="60" t="s">
        <v>490</v>
      </c>
      <c r="Z20" s="79" t="s">
        <v>491</v>
      </c>
      <c r="AB20" s="79" t="s">
        <v>492</v>
      </c>
      <c r="AC20" s="60" t="s">
        <v>490</v>
      </c>
      <c r="AG20" s="79" t="s">
        <v>493</v>
      </c>
      <c r="AI20" s="79" t="s">
        <v>492</v>
      </c>
    </row>
    <row r="21" spans="1:42" ht="14.25" hidden="1" customHeight="1">
      <c r="O21" s="794"/>
    </row>
    <row r="22" spans="1:42" ht="14.25" hidden="1" customHeight="1">
      <c r="O22" s="794"/>
    </row>
    <row r="23" spans="1:42" ht="14.25" customHeight="1">
      <c r="Q23" s="27"/>
      <c r="R23" s="27"/>
      <c r="S23" s="764"/>
      <c r="T23" s="8"/>
      <c r="U23" s="8"/>
    </row>
    <row r="24" spans="1:42" ht="32.25" customHeight="1">
      <c r="Q24" s="27"/>
      <c r="R24" s="27"/>
      <c r="S24" s="131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312"/>
      <c r="U24" s="1312"/>
      <c r="V24" s="1312"/>
      <c r="W24" s="1312"/>
      <c r="X24" s="1312"/>
      <c r="Y24" s="1312"/>
      <c r="Z24" s="1312"/>
      <c r="AA24" s="1312"/>
      <c r="AB24" s="1312"/>
      <c r="AC24" s="1312"/>
      <c r="AD24" s="1312"/>
      <c r="AE24" s="1312"/>
      <c r="AF24" s="1312"/>
      <c r="AG24" s="1312"/>
      <c r="AH24" s="1312"/>
      <c r="AI24" s="57"/>
    </row>
    <row r="25" spans="1:42" ht="14.25" customHeight="1">
      <c r="Q25" s="27"/>
      <c r="R25" s="27"/>
      <c r="S25" s="1178" t="str">
        <f>IF(org=0,"Не определено",org)</f>
        <v>ООО "Концессионная Коммунальная Компания"</v>
      </c>
      <c r="T25" s="1178"/>
      <c r="U25" s="1178"/>
      <c r="V25" s="1178"/>
      <c r="W25" s="1178"/>
      <c r="X25" s="1178"/>
      <c r="Y25" s="1178"/>
      <c r="Z25" s="1178"/>
      <c r="AA25" s="1178"/>
      <c r="AB25" s="1178"/>
      <c r="AC25" s="1178"/>
      <c r="AD25" s="1178"/>
      <c r="AE25" s="1178"/>
      <c r="AF25" s="1178"/>
      <c r="AG25" s="1178"/>
      <c r="AH25" s="1178"/>
      <c r="AI25" s="57"/>
    </row>
    <row r="26" spans="1:42" ht="14.25" hidden="1" customHeight="1">
      <c r="Q26" s="27"/>
      <c r="R26" s="27"/>
      <c r="S26" s="764"/>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4"/>
      <c r="M27" s="79"/>
      <c r="N27" s="79"/>
      <c r="O27" s="79"/>
      <c r="S27" s="1278" t="s">
        <v>40</v>
      </c>
      <c r="T27" s="1278"/>
      <c r="U27" s="797"/>
      <c r="V27" s="1280" t="str">
        <f>IF(TITLE_NAME_OR_PR_CHANGE="",IF(TITLE_NAME_OR_PR="","",TITLE_NAME_OR_PR),TITLE_NAME_OR_PR_CHANGE)</f>
        <v/>
      </c>
      <c r="W27" s="1280"/>
      <c r="X27" s="1280"/>
      <c r="Y27" s="1280"/>
      <c r="Z27" s="1280"/>
      <c r="AA27" s="1280"/>
      <c r="AB27" s="9"/>
      <c r="AC27" s="1280" t="str">
        <f>IF(TITLE_NAME_OR_PR_CHANGE="",IF(TITLE_NAME_OR_PR="","",TITLE_NAME_OR_PR),TITLE_NAME_OR_PR_CHANGE)</f>
        <v/>
      </c>
      <c r="AD27" s="1280"/>
      <c r="AE27" s="1280"/>
      <c r="AF27" s="1280"/>
      <c r="AG27" s="1280"/>
      <c r="AH27" s="1280"/>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4"/>
      <c r="M28" s="79"/>
      <c r="N28" s="79"/>
      <c r="O28" s="79"/>
      <c r="S28" s="1278" t="s">
        <v>494</v>
      </c>
      <c r="T28" s="1278"/>
      <c r="U28" s="797"/>
      <c r="V28" s="1279" t="str">
        <f>IF(TITLE_DATE_CHANGE_PERIOD="",IF(TITLE_DATE_PR="","",TITLE_DATE_PR),TITLE_DATE_CHANGE_PERIOD)</f>
        <v/>
      </c>
      <c r="W28" s="1279"/>
      <c r="X28" s="1279"/>
      <c r="Y28" s="1279"/>
      <c r="Z28" s="1279"/>
      <c r="AA28" s="1279"/>
      <c r="AB28" s="9"/>
      <c r="AC28" s="1279" t="str">
        <f>IF(TITLE_DATE_CHANGE_PERIOD="",IF(TITLE_DATE_PR="","",TITLE_DATE_PR),TITLE_DATE_CHANGE_PERIOD)</f>
        <v/>
      </c>
      <c r="AD28" s="1279"/>
      <c r="AE28" s="1279"/>
      <c r="AF28" s="1279"/>
      <c r="AG28" s="1279"/>
      <c r="AH28" s="1279"/>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4"/>
      <c r="M29" s="79"/>
      <c r="N29" s="79"/>
      <c r="O29" s="79"/>
      <c r="S29" s="1278" t="s">
        <v>495</v>
      </c>
      <c r="T29" s="1278"/>
      <c r="U29" s="797"/>
      <c r="V29" s="1280" t="str">
        <f>IF(TITLE_NUMBER_PR_CHANGE="",IF(TITLE_NUMBER_PR="","",TITLE_NUMBER_PR),TITLE_NUMBER_PR_CHANGE)</f>
        <v/>
      </c>
      <c r="W29" s="1280"/>
      <c r="X29" s="1280"/>
      <c r="Y29" s="1280"/>
      <c r="Z29" s="1280"/>
      <c r="AA29" s="1280"/>
      <c r="AB29" s="9"/>
      <c r="AC29" s="1280" t="str">
        <f>IF(TITLE_NUMBER_PR_CHANGE="",IF(TITLE_NUMBER_PR="","",TITLE_NUMBER_PR),TITLE_NUMBER_PR_CHANGE)</f>
        <v/>
      </c>
      <c r="AD29" s="1280"/>
      <c r="AE29" s="1280"/>
      <c r="AF29" s="1280"/>
      <c r="AG29" s="1280"/>
      <c r="AH29" s="1280"/>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4"/>
      <c r="M30" s="79"/>
      <c r="N30" s="79"/>
      <c r="O30" s="79"/>
      <c r="S30" s="1278" t="s">
        <v>41</v>
      </c>
      <c r="T30" s="1278"/>
      <c r="U30" s="797"/>
      <c r="V30" s="1280" t="str">
        <f>IF(TITLE_IST_PUB_CHANGE="",IF(TITLE_IST_PUB="","",TITLE_IST_PUB),TITLE_IST_PUB_CHANGE)</f>
        <v/>
      </c>
      <c r="W30" s="1280"/>
      <c r="X30" s="1280"/>
      <c r="Y30" s="1280"/>
      <c r="Z30" s="1280"/>
      <c r="AA30" s="1280"/>
      <c r="AB30" s="9"/>
      <c r="AC30" s="1280" t="str">
        <f>IF(TITLE_IST_PUB_CHANGE="",IF(TITLE_IST_PUB="","",TITLE_IST_PUB),TITLE_IST_PUB_CHANGE)</f>
        <v/>
      </c>
      <c r="AD30" s="1280"/>
      <c r="AE30" s="1280"/>
      <c r="AF30" s="1280"/>
      <c r="AG30" s="1280"/>
      <c r="AH30" s="1280"/>
      <c r="AI30" s="9"/>
      <c r="AJ30" s="9"/>
      <c r="AK30" s="162"/>
      <c r="AL30" s="66"/>
      <c r="AM30" s="66"/>
      <c r="AN30" s="66"/>
      <c r="AO30" s="66"/>
      <c r="AP30" s="66"/>
    </row>
    <row r="31" spans="1:42" ht="14.25" hidden="1" customHeight="1">
      <c r="Q31" s="27"/>
      <c r="R31" s="27"/>
      <c r="S31" s="764"/>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4"/>
      <c r="M32" s="79"/>
      <c r="N32" s="79"/>
      <c r="O32" s="79"/>
      <c r="S32" s="1278" t="s">
        <v>496</v>
      </c>
      <c r="T32" s="1278"/>
      <c r="U32" s="797"/>
      <c r="V32" s="1279" t="str">
        <f>IF(TITLE_DATE_CHANGE_PERIOD="",IF(TITLE_DATE_PR="","",TITLE_DATE_PR),TITLE_DATE_CHANGE_PERIOD)</f>
        <v/>
      </c>
      <c r="W32" s="1279"/>
      <c r="X32" s="1279"/>
      <c r="Y32" s="1279"/>
      <c r="Z32" s="1279"/>
      <c r="AA32" s="1279"/>
      <c r="AB32" s="9"/>
      <c r="AC32" s="1279" t="str">
        <f>IF(TITLE_DATE_CHANGE_PERIOD="",IF(TITLE_DATE_PR="","",TITLE_DATE_PR),TITLE_DATE_CHANGE_PERIOD)</f>
        <v/>
      </c>
      <c r="AD32" s="1279"/>
      <c r="AE32" s="1279"/>
      <c r="AF32" s="1279"/>
      <c r="AG32" s="1279"/>
      <c r="AH32" s="1279"/>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4"/>
      <c r="M33" s="79"/>
      <c r="N33" s="79"/>
      <c r="O33" s="79"/>
      <c r="S33" s="1278" t="s">
        <v>497</v>
      </c>
      <c r="T33" s="1278"/>
      <c r="U33" s="797"/>
      <c r="V33" s="1280" t="str">
        <f>IF(TITLE_NUMBER_PR_CHANGE="",IF(TITLE_NUMBER_PR="","",TITLE_NUMBER_PR),TITLE_NUMBER_PR_CHANGE)</f>
        <v/>
      </c>
      <c r="W33" s="1280"/>
      <c r="X33" s="1280"/>
      <c r="Y33" s="1280"/>
      <c r="Z33" s="1280"/>
      <c r="AA33" s="1280"/>
      <c r="AB33" s="9"/>
      <c r="AC33" s="1280" t="str">
        <f>IF(TITLE_NUMBER_PR_CHANGE="",IF(TITLE_NUMBER_PR="","",TITLE_NUMBER_PR),TITLE_NUMBER_PR_CHANGE)</f>
        <v/>
      </c>
      <c r="AD33" s="1280"/>
      <c r="AE33" s="1280"/>
      <c r="AF33" s="1280"/>
      <c r="AG33" s="1280"/>
      <c r="AH33" s="1280"/>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4"/>
      <c r="M34" s="79"/>
      <c r="N34" s="79"/>
      <c r="O34" s="79"/>
      <c r="S34" s="9"/>
      <c r="T34" s="9"/>
      <c r="U34" s="75"/>
      <c r="V34" s="9"/>
      <c r="W34" s="9"/>
      <c r="X34" s="9"/>
      <c r="Y34" s="9"/>
      <c r="Z34" s="9"/>
      <c r="AA34" s="9"/>
      <c r="AB34" s="65" t="s">
        <v>498</v>
      </c>
      <c r="AC34" s="9"/>
      <c r="AD34" s="9"/>
      <c r="AE34" s="9"/>
      <c r="AF34" s="9"/>
      <c r="AG34" s="9"/>
      <c r="AH34" s="9"/>
      <c r="AI34" s="65" t="s">
        <v>498</v>
      </c>
      <c r="AL34" s="66"/>
      <c r="AM34" s="66"/>
      <c r="AN34" s="66"/>
      <c r="AO34" s="66"/>
      <c r="AP34" s="66"/>
    </row>
    <row r="35" spans="1:42" ht="14.25" customHeight="1">
      <c r="Q35" s="27"/>
      <c r="R35" s="27"/>
      <c r="S35" s="764"/>
      <c r="T35" s="8"/>
      <c r="U35" s="736"/>
      <c r="V35" s="1298"/>
      <c r="W35" s="1298"/>
      <c r="X35" s="1298"/>
      <c r="Y35" s="1298"/>
      <c r="Z35" s="1298"/>
      <c r="AA35" s="1298"/>
      <c r="AB35" s="1298"/>
      <c r="AC35" s="1298"/>
      <c r="AD35" s="1298"/>
      <c r="AE35" s="1298"/>
      <c r="AF35" s="1298"/>
      <c r="AG35" s="1298"/>
      <c r="AH35" s="1298"/>
      <c r="AI35" s="1298"/>
    </row>
    <row r="36" spans="1:42" ht="14.25" customHeight="1">
      <c r="Q36" s="27"/>
      <c r="R36" s="27"/>
      <c r="S36" s="1082" t="s">
        <v>302</v>
      </c>
      <c r="T36" s="1082"/>
      <c r="U36" s="1082"/>
      <c r="V36" s="1082"/>
      <c r="W36" s="1082"/>
      <c r="X36" s="1082"/>
      <c r="Y36" s="1082"/>
      <c r="Z36" s="1082"/>
      <c r="AA36" s="1082"/>
      <c r="AB36" s="1082"/>
      <c r="AC36" s="1082"/>
      <c r="AD36" s="1082"/>
      <c r="AE36" s="1082"/>
      <c r="AF36" s="1082"/>
      <c r="AG36" s="1082"/>
      <c r="AH36" s="1082"/>
      <c r="AI36" s="1082"/>
      <c r="AJ36" s="1082"/>
      <c r="AK36" s="1082" t="s">
        <v>303</v>
      </c>
    </row>
    <row r="37" spans="1:42" ht="14.25" customHeight="1">
      <c r="Q37" s="27"/>
      <c r="R37" s="27"/>
      <c r="S37" s="1299" t="s">
        <v>88</v>
      </c>
      <c r="T37" s="1176" t="s">
        <v>499</v>
      </c>
      <c r="U37" s="171"/>
      <c r="V37" s="1300" t="s">
        <v>500</v>
      </c>
      <c r="W37" s="1301"/>
      <c r="X37" s="1301"/>
      <c r="Y37" s="1301"/>
      <c r="Z37" s="1301"/>
      <c r="AA37" s="1302"/>
      <c r="AB37" s="1303" t="s">
        <v>501</v>
      </c>
      <c r="AC37" s="1300" t="s">
        <v>500</v>
      </c>
      <c r="AD37" s="1301"/>
      <c r="AE37" s="1301"/>
      <c r="AF37" s="1301"/>
      <c r="AG37" s="1301"/>
      <c r="AH37" s="1302"/>
      <c r="AI37" s="1303" t="s">
        <v>502</v>
      </c>
      <c r="AJ37" s="1306" t="s">
        <v>503</v>
      </c>
      <c r="AK37" s="1082"/>
    </row>
    <row r="38" spans="1:42" ht="33.75" customHeight="1">
      <c r="Q38" s="27"/>
      <c r="R38" s="27"/>
      <c r="S38" s="1299"/>
      <c r="T38" s="1176"/>
      <c r="U38" s="621"/>
      <c r="V38" s="349" t="s">
        <v>1693</v>
      </c>
      <c r="W38" s="1063" t="s">
        <v>506</v>
      </c>
      <c r="X38" s="1062"/>
      <c r="Y38" s="1063" t="s">
        <v>507</v>
      </c>
      <c r="Z38" s="1068"/>
      <c r="AA38" s="1062"/>
      <c r="AB38" s="1304"/>
      <c r="AC38" s="349" t="s">
        <v>1693</v>
      </c>
      <c r="AD38" s="1063" t="s">
        <v>506</v>
      </c>
      <c r="AE38" s="1062"/>
      <c r="AF38" s="1063" t="s">
        <v>507</v>
      </c>
      <c r="AG38" s="1068"/>
      <c r="AH38" s="1062"/>
      <c r="AI38" s="1304"/>
      <c r="AJ38" s="1307"/>
      <c r="AK38" s="1082"/>
    </row>
    <row r="39" spans="1:42" ht="33.75" customHeight="1">
      <c r="A39" s="79"/>
      <c r="B39" s="79" t="s">
        <v>151</v>
      </c>
      <c r="C39" s="79" t="s">
        <v>152</v>
      </c>
      <c r="D39" s="79" t="s">
        <v>153</v>
      </c>
      <c r="E39" s="794" t="s">
        <v>508</v>
      </c>
      <c r="F39" s="794" t="s">
        <v>509</v>
      </c>
      <c r="G39" s="794" t="s">
        <v>510</v>
      </c>
      <c r="H39" s="794"/>
      <c r="I39" s="794" t="s">
        <v>1694</v>
      </c>
      <c r="J39" s="794" t="s">
        <v>513</v>
      </c>
      <c r="K39" s="794" t="s">
        <v>1695</v>
      </c>
      <c r="L39" s="794" t="s">
        <v>489</v>
      </c>
      <c r="Q39" s="27"/>
      <c r="R39" s="27"/>
      <c r="S39" s="1299"/>
      <c r="T39" s="1176"/>
      <c r="U39" s="172"/>
      <c r="V39" s="349" t="s">
        <v>1696</v>
      </c>
      <c r="W39" s="37" t="s">
        <v>1697</v>
      </c>
      <c r="X39" s="37" t="s">
        <v>1698</v>
      </c>
      <c r="Y39" s="37" t="s">
        <v>517</v>
      </c>
      <c r="Z39" s="1182" t="s">
        <v>518</v>
      </c>
      <c r="AA39" s="1195"/>
      <c r="AB39" s="1305"/>
      <c r="AC39" s="349" t="s">
        <v>1696</v>
      </c>
      <c r="AD39" s="37" t="s">
        <v>1697</v>
      </c>
      <c r="AE39" s="37" t="s">
        <v>1698</v>
      </c>
      <c r="AF39" s="37" t="s">
        <v>517</v>
      </c>
      <c r="AG39" s="1182" t="s">
        <v>518</v>
      </c>
      <c r="AH39" s="1195"/>
      <c r="AI39" s="1305"/>
      <c r="AJ39" s="1308"/>
      <c r="AK39" s="1082"/>
    </row>
    <row r="40" spans="1:42" s="209" customFormat="1" ht="0" hidden="1" customHeight="1">
      <c r="A40" s="79"/>
      <c r="B40" s="79"/>
      <c r="C40" s="79"/>
      <c r="D40" s="79"/>
      <c r="E40" s="79"/>
      <c r="F40" s="79"/>
      <c r="G40" s="79"/>
      <c r="H40" s="79"/>
      <c r="I40" s="79"/>
      <c r="J40" s="79"/>
      <c r="K40" s="79"/>
      <c r="L40" s="794"/>
      <c r="M40" s="519"/>
      <c r="N40" s="519"/>
      <c r="O40" s="519"/>
      <c r="P40" s="738"/>
      <c r="Q40" s="739"/>
      <c r="R40" s="747">
        <v>1</v>
      </c>
      <c r="S40" s="766" t="s">
        <v>119</v>
      </c>
      <c r="T40" s="748" t="s">
        <v>103</v>
      </c>
      <c r="U40" s="737" t="str">
        <f ca="1">OFFSET(U40,0,-1)</f>
        <v>2</v>
      </c>
      <c r="V40" s="749">
        <f ca="1">OFFSET(V40,0,-1)+1</f>
        <v>3</v>
      </c>
      <c r="W40" s="749">
        <f ca="1">OFFSET(W40,0,-1)+1</f>
        <v>4</v>
      </c>
      <c r="X40" s="749">
        <f ca="1">OFFSET(X40,0,-1)+1</f>
        <v>5</v>
      </c>
      <c r="Y40" s="749">
        <f ca="1">OFFSET(Y40,0,-1)+1</f>
        <v>6</v>
      </c>
      <c r="Z40" s="1297">
        <f ca="1">OFFSET(Z40,0,-1)+1</f>
        <v>7</v>
      </c>
      <c r="AA40" s="1297"/>
      <c r="AB40" s="749">
        <f ca="1">OFFSET(AB40,0,-2)+1</f>
        <v>8</v>
      </c>
      <c r="AC40" s="749">
        <f ca="1">OFFSET(AC40,0,-1)+1</f>
        <v>9</v>
      </c>
      <c r="AD40" s="749">
        <f ca="1">OFFSET(AD40,0,-1)+1</f>
        <v>10</v>
      </c>
      <c r="AE40" s="749">
        <f ca="1">OFFSET(AE40,0,-1)+1</f>
        <v>11</v>
      </c>
      <c r="AF40" s="749">
        <f ca="1">OFFSET(AF40,0,-1)+1</f>
        <v>12</v>
      </c>
      <c r="AG40" s="1297">
        <f ca="1">OFFSET(AG40,0,-1)+1</f>
        <v>13</v>
      </c>
      <c r="AH40" s="1297"/>
      <c r="AI40" s="749">
        <f ca="1">OFFSET(AI40,0,-2)+1</f>
        <v>14</v>
      </c>
      <c r="AJ40" s="737">
        <f ca="1">OFFSET(AJ40,0,-1)</f>
        <v>14</v>
      </c>
      <c r="AK40" s="749">
        <f ca="1">OFFSET(AK40,0,-1)+1</f>
        <v>15</v>
      </c>
      <c r="AL40" s="65"/>
      <c r="AM40" s="65"/>
      <c r="AN40" s="65"/>
      <c r="AO40" s="65"/>
      <c r="AP40" s="65"/>
    </row>
    <row r="41" spans="1:42" ht="23.25" customHeight="1">
      <c r="A41" s="793" t="s">
        <v>233</v>
      </c>
      <c r="B41" s="793"/>
      <c r="C41" s="793"/>
      <c r="D41" s="793"/>
      <c r="E41" s="1287">
        <v>1</v>
      </c>
      <c r="F41" s="793"/>
      <c r="G41" s="793"/>
      <c r="H41" s="793"/>
      <c r="I41" s="793"/>
      <c r="J41" s="793"/>
      <c r="K41" s="793"/>
      <c r="L41" s="794"/>
      <c r="M41" s="433"/>
      <c r="N41" s="433"/>
      <c r="O41" s="433"/>
      <c r="Q41" s="2"/>
      <c r="R41" s="213"/>
      <c r="S41" s="725">
        <f>INDEX(PT_DIFFERENTIATION_NUM_NTAR,MATCH(A41,PT_DIFFERENTIATION_NTAR_ID,0))</f>
        <v>0</v>
      </c>
      <c r="T41" s="64" t="s">
        <v>139</v>
      </c>
      <c r="U41" s="170"/>
      <c r="V41" s="1281"/>
      <c r="W41" s="1282"/>
      <c r="X41" s="1282"/>
      <c r="Y41" s="1282"/>
      <c r="Z41" s="1282"/>
      <c r="AA41" s="1282"/>
      <c r="AB41" s="1283"/>
      <c r="AC41" s="1281" t="str">
        <f>INDEX(PT_DIFFERENTIATION_NTAR,MATCH(A41,PT_DIFFERENTIATION_NTAR_ID,0))</f>
        <v/>
      </c>
      <c r="AD41" s="1282"/>
      <c r="AE41" s="1282"/>
      <c r="AF41" s="1282"/>
      <c r="AG41" s="1282"/>
      <c r="AH41" s="1282"/>
      <c r="AI41" s="1282"/>
      <c r="AJ41" s="1283"/>
      <c r="AK41" s="7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3" t="s">
        <v>233</v>
      </c>
      <c r="B42" s="793" t="s">
        <v>234</v>
      </c>
      <c r="C42" s="793"/>
      <c r="D42" s="793"/>
      <c r="E42" s="1288"/>
      <c r="F42" s="1287">
        <v>1</v>
      </c>
      <c r="G42" s="793"/>
      <c r="H42" s="793"/>
      <c r="I42" s="793"/>
      <c r="J42" s="793"/>
      <c r="K42" s="793"/>
      <c r="L42" s="794"/>
      <c r="M42" s="433"/>
      <c r="N42" s="433"/>
      <c r="O42" s="433"/>
      <c r="P42" s="56"/>
      <c r="Q42" s="210"/>
      <c r="R42" s="211"/>
      <c r="S42" s="725" t="str">
        <f>INDEX(PT_DIFFERENTIATION_NUM_TER,MATCH(B42,PT_DIFFERENTIATION_TER_ID,0))</f>
        <v>.</v>
      </c>
      <c r="T42" s="178" t="s">
        <v>471</v>
      </c>
      <c r="U42" s="170"/>
      <c r="V42" s="1281"/>
      <c r="W42" s="1282"/>
      <c r="X42" s="1282"/>
      <c r="Y42" s="1282"/>
      <c r="Z42" s="1282"/>
      <c r="AA42" s="1282"/>
      <c r="AB42" s="1283"/>
      <c r="AC42" s="1281" t="str">
        <f>INDEX(PT_DIFFERENTIATION_TER,MATCH(B42,PT_DIFFERENTIATION_TER_ID,0))</f>
        <v/>
      </c>
      <c r="AD42" s="1282"/>
      <c r="AE42" s="1282"/>
      <c r="AF42" s="1282"/>
      <c r="AG42" s="1282"/>
      <c r="AH42" s="1282"/>
      <c r="AI42" s="1282"/>
      <c r="AJ42" s="1283"/>
      <c r="AK42" s="753" t="s">
        <v>472</v>
      </c>
      <c r="AM42" s="66"/>
      <c r="AN42" s="66" t="str">
        <f t="shared" si="1"/>
        <v>Территория действия тарифа</v>
      </c>
      <c r="AO42" s="66"/>
      <c r="AP42" s="66"/>
    </row>
    <row r="43" spans="1:42" ht="23.25" customHeight="1">
      <c r="A43" s="793" t="s">
        <v>233</v>
      </c>
      <c r="B43" s="793" t="s">
        <v>234</v>
      </c>
      <c r="C43" s="793" t="s">
        <v>235</v>
      </c>
      <c r="D43" s="793"/>
      <c r="E43" s="1288"/>
      <c r="F43" s="1288"/>
      <c r="G43" s="1287">
        <v>1</v>
      </c>
      <c r="H43" s="793"/>
      <c r="I43" s="793"/>
      <c r="J43" s="793"/>
      <c r="K43" s="793"/>
      <c r="L43" s="794"/>
      <c r="M43" s="433"/>
      <c r="N43" s="433"/>
      <c r="O43" s="433"/>
      <c r="P43" s="212"/>
      <c r="Q43" s="210"/>
      <c r="R43" s="211"/>
      <c r="S43" s="725" t="str">
        <f>INDEX(PT_DIFFERENTIATION_NUM_CS,MATCH(C43,PT_DIFFERENTIATION_CS_ID,0))</f>
        <v>..</v>
      </c>
      <c r="T43" s="179" t="s">
        <v>1685</v>
      </c>
      <c r="U43" s="170"/>
      <c r="V43" s="1281"/>
      <c r="W43" s="1282"/>
      <c r="X43" s="1282"/>
      <c r="Y43" s="1282"/>
      <c r="Z43" s="1282"/>
      <c r="AA43" s="1282"/>
      <c r="AB43" s="1283"/>
      <c r="AC43" s="1281" t="str">
        <f>INDEX(PT_DIFFERENTIATION_CS,MATCH(C43,PT_DIFFERENTIATION_CS_ID,0))</f>
        <v/>
      </c>
      <c r="AD43" s="1282"/>
      <c r="AE43" s="1282"/>
      <c r="AF43" s="1282"/>
      <c r="AG43" s="1282"/>
      <c r="AH43" s="1282"/>
      <c r="AI43" s="1282"/>
      <c r="AJ43" s="1283"/>
      <c r="AK43" s="753" t="s">
        <v>1686</v>
      </c>
      <c r="AM43" s="66"/>
      <c r="AN43" s="66" t="str">
        <f t="shared" si="1"/>
        <v>Наименование централизованной системы холодного водоснабжения</v>
      </c>
      <c r="AO43" s="66"/>
      <c r="AP43" s="66"/>
    </row>
    <row r="44" spans="1:42" ht="23.25" customHeight="1">
      <c r="A44" s="793" t="s">
        <v>233</v>
      </c>
      <c r="B44" s="793" t="s">
        <v>234</v>
      </c>
      <c r="C44" s="793" t="s">
        <v>235</v>
      </c>
      <c r="D44" s="793" t="s">
        <v>1702</v>
      </c>
      <c r="E44" s="1288"/>
      <c r="F44" s="1288"/>
      <c r="G44" s="1288"/>
      <c r="H44" s="1288"/>
      <c r="I44" s="1289" t="str">
        <f>S43&amp;".1"</f>
        <v>...1</v>
      </c>
      <c r="J44" s="793"/>
      <c r="K44" s="793"/>
      <c r="L44" s="794"/>
      <c r="P44" s="1211">
        <v>1</v>
      </c>
      <c r="Q44" s="119"/>
      <c r="R44" s="214"/>
      <c r="S44" s="725" t="str">
        <f>$I44</f>
        <v>...1</v>
      </c>
      <c r="T44" s="163" t="s">
        <v>1687</v>
      </c>
      <c r="U44" s="170"/>
      <c r="V44" s="1387"/>
      <c r="W44" s="1388"/>
      <c r="X44" s="1388"/>
      <c r="Y44" s="1388"/>
      <c r="Z44" s="1388"/>
      <c r="AA44" s="1388"/>
      <c r="AB44" s="1389"/>
      <c r="AC44" s="1390"/>
      <c r="AD44" s="1391"/>
      <c r="AE44" s="1391"/>
      <c r="AF44" s="1391"/>
      <c r="AG44" s="1391"/>
      <c r="AH44" s="1391"/>
      <c r="AI44" s="1391"/>
      <c r="AJ44" s="1392"/>
      <c r="AK44" s="753" t="s">
        <v>1688</v>
      </c>
      <c r="AM44" s="66"/>
      <c r="AN44" s="66" t="str">
        <f t="shared" si="1"/>
        <v>Наименование признака дифференциации</v>
      </c>
      <c r="AO44" s="66"/>
      <c r="AP44" s="66"/>
    </row>
    <row r="45" spans="1:42" ht="23.25" customHeight="1">
      <c r="A45" s="793" t="s">
        <v>233</v>
      </c>
      <c r="B45" s="793" t="s">
        <v>234</v>
      </c>
      <c r="C45" s="793" t="s">
        <v>235</v>
      </c>
      <c r="D45" s="793" t="s">
        <v>1702</v>
      </c>
      <c r="E45" s="1288"/>
      <c r="F45" s="1288"/>
      <c r="G45" s="1288"/>
      <c r="H45" s="1288"/>
      <c r="I45" s="1290"/>
      <c r="J45" s="1289" t="str">
        <f>I44&amp;".1"</f>
        <v>...1.1</v>
      </c>
      <c r="K45" s="793"/>
      <c r="L45" s="794" t="s">
        <v>480</v>
      </c>
      <c r="P45" s="1211"/>
      <c r="Q45" s="1211">
        <v>1</v>
      </c>
      <c r="R45" s="215"/>
      <c r="S45" s="725" t="str">
        <f>$J45</f>
        <v>...1.1</v>
      </c>
      <c r="T45" s="164" t="s">
        <v>481</v>
      </c>
      <c r="U45" s="170"/>
      <c r="V45" s="1275"/>
      <c r="W45" s="1276"/>
      <c r="X45" s="1276"/>
      <c r="Y45" s="1276"/>
      <c r="Z45" s="1276"/>
      <c r="AA45" s="1276"/>
      <c r="AB45" s="1277"/>
      <c r="AC45" s="1275"/>
      <c r="AD45" s="1276"/>
      <c r="AE45" s="1276"/>
      <c r="AF45" s="1276"/>
      <c r="AG45" s="1276"/>
      <c r="AH45" s="1276"/>
      <c r="AI45" s="1276"/>
      <c r="AJ45" s="1277"/>
      <c r="AK45" s="778" t="s">
        <v>1689</v>
      </c>
      <c r="AM45" s="66"/>
      <c r="AN45" s="66" t="str">
        <f t="shared" si="1"/>
        <v>Группа потребителей</v>
      </c>
      <c r="AO45" s="66"/>
      <c r="AP45" s="66"/>
    </row>
    <row r="46" spans="1:42" ht="23.25" customHeight="1">
      <c r="A46" s="793" t="s">
        <v>233</v>
      </c>
      <c r="B46" s="793" t="s">
        <v>234</v>
      </c>
      <c r="C46" s="793" t="s">
        <v>235</v>
      </c>
      <c r="D46" s="793" t="s">
        <v>1702</v>
      </c>
      <c r="E46" s="1288"/>
      <c r="F46" s="1288"/>
      <c r="G46" s="1288"/>
      <c r="H46" s="1288"/>
      <c r="I46" s="1290"/>
      <c r="J46" s="1290"/>
      <c r="K46" s="1289" t="str">
        <f>J45&amp;".1"</f>
        <v>...1.1.1</v>
      </c>
      <c r="L46" s="794"/>
      <c r="P46" s="1211"/>
      <c r="Q46" s="1211"/>
      <c r="R46" s="215">
        <v>1</v>
      </c>
      <c r="S46" s="725" t="str">
        <f>$K46</f>
        <v>...1.1.1</v>
      </c>
      <c r="T46" s="836"/>
      <c r="U46" s="170"/>
      <c r="V46" s="317"/>
      <c r="W46" s="317"/>
      <c r="X46" s="752"/>
      <c r="Y46" s="1291"/>
      <c r="Z46" s="1092" t="s">
        <v>59</v>
      </c>
      <c r="AA46" s="1291"/>
      <c r="AB46" s="1092" t="s">
        <v>59</v>
      </c>
      <c r="AC46" s="317"/>
      <c r="AD46" s="317"/>
      <c r="AE46" s="752"/>
      <c r="AF46" s="1291"/>
      <c r="AG46" s="1092" t="s">
        <v>59</v>
      </c>
      <c r="AH46" s="1293"/>
      <c r="AI46" s="1092" t="s">
        <v>59</v>
      </c>
      <c r="AJ46" s="837"/>
      <c r="AK46"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3" t="s">
        <v>233</v>
      </c>
      <c r="B47" s="793" t="s">
        <v>234</v>
      </c>
      <c r="C47" s="793" t="s">
        <v>235</v>
      </c>
      <c r="D47" s="793" t="s">
        <v>1702</v>
      </c>
      <c r="E47" s="1288"/>
      <c r="F47" s="1288"/>
      <c r="G47" s="1288"/>
      <c r="H47" s="1288"/>
      <c r="I47" s="1290"/>
      <c r="J47" s="1290"/>
      <c r="K47" s="1289"/>
      <c r="L47" s="794"/>
      <c r="P47" s="1211"/>
      <c r="Q47" s="1211"/>
      <c r="R47" s="215"/>
      <c r="S47" s="62"/>
      <c r="T47" s="170"/>
      <c r="U47" s="170"/>
      <c r="V47" s="196"/>
      <c r="W47" s="196"/>
      <c r="X47" s="198" t="str">
        <f>Y46&amp;"-"&amp;AA46</f>
        <v>-</v>
      </c>
      <c r="Y47" s="1292"/>
      <c r="Z47" s="1092"/>
      <c r="AA47" s="1292"/>
      <c r="AB47" s="1092"/>
      <c r="AC47" s="196"/>
      <c r="AD47" s="196"/>
      <c r="AE47" s="198" t="str">
        <f>AF46&amp;"-"&amp;AH46</f>
        <v>-</v>
      </c>
      <c r="AF47" s="1292"/>
      <c r="AG47" s="1092"/>
      <c r="AH47" s="1294"/>
      <c r="AI47" s="1092"/>
      <c r="AJ47" s="396"/>
      <c r="AK47" s="1393"/>
      <c r="AM47" s="66"/>
      <c r="AN47" s="66" t="str">
        <f t="shared" si="1"/>
        <v/>
      </c>
      <c r="AO47" s="66"/>
      <c r="AP47" s="66"/>
    </row>
    <row r="48" spans="1:42" ht="21" customHeight="1">
      <c r="A48" s="793" t="s">
        <v>233</v>
      </c>
      <c r="B48" s="793" t="s">
        <v>234</v>
      </c>
      <c r="C48" s="793" t="s">
        <v>235</v>
      </c>
      <c r="D48" s="793" t="s">
        <v>1702</v>
      </c>
      <c r="E48" s="1288"/>
      <c r="F48" s="1288"/>
      <c r="G48" s="1288"/>
      <c r="H48" s="1288"/>
      <c r="I48" s="1290"/>
      <c r="J48" s="1289"/>
      <c r="K48" s="793"/>
      <c r="L48" s="794"/>
      <c r="P48" s="1211"/>
      <c r="Q48" s="1211"/>
      <c r="R48" s="214"/>
      <c r="S48" s="767"/>
      <c r="T48" s="165" t="s">
        <v>1690</v>
      </c>
      <c r="U48" s="221"/>
      <c r="V48" s="221"/>
      <c r="W48" s="221"/>
      <c r="X48" s="221"/>
      <c r="Y48" s="221"/>
      <c r="Z48" s="221"/>
      <c r="AA48" s="221"/>
      <c r="AB48" s="221"/>
      <c r="AC48" s="221"/>
      <c r="AD48" s="221"/>
      <c r="AE48" s="221"/>
      <c r="AF48" s="221"/>
      <c r="AG48" s="221"/>
      <c r="AH48" s="221"/>
      <c r="AI48" s="221"/>
      <c r="AJ48" s="221"/>
      <c r="AK48" s="753" t="s">
        <v>1691</v>
      </c>
      <c r="AM48" s="66"/>
      <c r="AN48" s="66" t="str">
        <f t="shared" si="1"/>
        <v>Добавить значение признака дифференциации</v>
      </c>
      <c r="AO48" s="66"/>
      <c r="AP48" s="66"/>
    </row>
    <row r="49" spans="1:42" ht="21" customHeight="1">
      <c r="A49" s="793" t="s">
        <v>233</v>
      </c>
      <c r="B49" s="793" t="s">
        <v>234</v>
      </c>
      <c r="C49" s="793" t="s">
        <v>235</v>
      </c>
      <c r="D49" s="793" t="s">
        <v>1702</v>
      </c>
      <c r="E49" s="1288"/>
      <c r="F49" s="1288"/>
      <c r="G49" s="1288"/>
      <c r="H49" s="1288"/>
      <c r="I49" s="1289"/>
      <c r="J49" s="793"/>
      <c r="K49" s="793"/>
      <c r="L49" s="794"/>
      <c r="P49" s="1211"/>
      <c r="Q49" s="119"/>
      <c r="R49" s="214"/>
      <c r="S49" s="767"/>
      <c r="T49" s="219" t="s">
        <v>486</v>
      </c>
      <c r="U49" s="221"/>
      <c r="V49" s="221"/>
      <c r="W49" s="221"/>
      <c r="X49" s="221"/>
      <c r="Y49" s="221"/>
      <c r="Z49" s="221"/>
      <c r="AA49" s="221"/>
      <c r="AB49" s="197"/>
      <c r="AC49" s="221"/>
      <c r="AD49" s="221"/>
      <c r="AE49" s="221"/>
      <c r="AF49" s="221"/>
      <c r="AG49" s="221"/>
      <c r="AH49" s="221"/>
      <c r="AI49" s="197"/>
      <c r="AJ49" s="221"/>
      <c r="AK49" s="838"/>
      <c r="AM49" s="66"/>
      <c r="AN49" s="66" t="str">
        <f t="shared" si="1"/>
        <v>Добавить группу потребителей</v>
      </c>
      <c r="AO49" s="66"/>
      <c r="AP49" s="66"/>
    </row>
    <row r="50" spans="1:42" ht="21" customHeight="1">
      <c r="A50" s="793" t="s">
        <v>233</v>
      </c>
      <c r="B50" s="793" t="s">
        <v>234</v>
      </c>
      <c r="C50" s="793" t="s">
        <v>235</v>
      </c>
      <c r="D50" s="793" t="s">
        <v>1702</v>
      </c>
      <c r="E50" s="1288"/>
      <c r="F50" s="1288"/>
      <c r="G50" s="1288"/>
      <c r="H50" s="1287"/>
      <c r="I50" s="793"/>
      <c r="J50" s="793"/>
      <c r="K50" s="793"/>
      <c r="L50" s="794"/>
      <c r="M50" s="433"/>
      <c r="N50" s="433"/>
      <c r="O50" s="60"/>
      <c r="P50" s="2"/>
      <c r="Q50" s="224"/>
      <c r="R50" s="213"/>
      <c r="S50" s="767"/>
      <c r="T50" s="104" t="s">
        <v>1692</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233</v>
      </c>
      <c r="B51" s="142" t="s">
        <v>234</v>
      </c>
      <c r="C51" s="142"/>
      <c r="D51" s="142"/>
      <c r="E51" s="1288"/>
      <c r="F51" s="1287"/>
      <c r="G51" s="142"/>
      <c r="H51" s="142"/>
      <c r="I51" s="142"/>
      <c r="J51" s="142"/>
      <c r="K51" s="142"/>
      <c r="L51" s="355"/>
      <c r="M51" s="784"/>
      <c r="N51" s="784"/>
      <c r="P51" s="101"/>
      <c r="Q51" s="780"/>
      <c r="R51" s="101"/>
      <c r="S51" s="785"/>
      <c r="T51" s="787" t="s">
        <v>445</v>
      </c>
      <c r="U51" s="323"/>
      <c r="V51" s="323"/>
      <c r="W51" s="323"/>
      <c r="X51" s="323"/>
      <c r="Y51" s="323"/>
      <c r="Z51" s="323"/>
      <c r="AA51" s="323"/>
      <c r="AB51" s="323"/>
      <c r="AC51" s="323"/>
      <c r="AD51" s="323"/>
      <c r="AE51" s="323"/>
      <c r="AF51" s="323"/>
      <c r="AG51" s="323"/>
      <c r="AH51" s="323"/>
      <c r="AI51" s="323"/>
      <c r="AJ51" s="323"/>
      <c r="AK51" s="323"/>
      <c r="AM51" s="66"/>
      <c r="AN51" s="66" t="str">
        <f t="shared" si="1"/>
        <v>Добавить централизованную систему для дифференциации</v>
      </c>
      <c r="AO51" s="66"/>
      <c r="AP51" s="66"/>
    </row>
    <row r="52" spans="1:42" s="65" customFormat="1" ht="0" hidden="1" customHeight="1">
      <c r="A52" s="142" t="s">
        <v>233</v>
      </c>
      <c r="B52" s="142"/>
      <c r="C52" s="142"/>
      <c r="D52" s="142"/>
      <c r="E52" s="1287"/>
      <c r="F52" s="142"/>
      <c r="G52" s="142"/>
      <c r="H52" s="142"/>
      <c r="I52" s="142"/>
      <c r="J52" s="142"/>
      <c r="K52" s="142"/>
      <c r="L52" s="355"/>
      <c r="M52" s="784"/>
      <c r="N52" s="784"/>
      <c r="P52" s="101"/>
      <c r="Q52" s="780"/>
      <c r="R52" s="101"/>
      <c r="S52" s="785"/>
      <c r="T52" s="787" t="s">
        <v>446</v>
      </c>
      <c r="U52" s="323"/>
      <c r="V52" s="323"/>
      <c r="W52" s="323"/>
      <c r="X52" s="323"/>
      <c r="Y52" s="323"/>
      <c r="Z52" s="323"/>
      <c r="AA52" s="323"/>
      <c r="AB52" s="323"/>
      <c r="AC52" s="323"/>
      <c r="AD52" s="323"/>
      <c r="AE52" s="323"/>
      <c r="AF52" s="323"/>
      <c r="AG52" s="323"/>
      <c r="AH52" s="323"/>
      <c r="AI52" s="323"/>
      <c r="AJ52" s="323"/>
      <c r="AK52" s="323"/>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4"/>
      <c r="N53" s="784"/>
      <c r="P53" s="101"/>
      <c r="Q53" s="780"/>
      <c r="R53" s="101"/>
      <c r="S53" s="785"/>
      <c r="T53" s="787" t="s">
        <v>447</v>
      </c>
      <c r="U53" s="323"/>
      <c r="V53" s="323"/>
      <c r="W53" s="323"/>
      <c r="X53" s="323"/>
      <c r="Y53" s="323"/>
      <c r="Z53" s="323"/>
      <c r="AA53" s="323"/>
      <c r="AB53" s="323"/>
      <c r="AC53" s="323"/>
      <c r="AD53" s="323"/>
      <c r="AE53" s="323"/>
      <c r="AF53" s="323"/>
      <c r="AG53" s="323"/>
      <c r="AH53" s="323"/>
      <c r="AI53" s="323"/>
      <c r="AJ53" s="323"/>
      <c r="AK53" s="323"/>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519</v>
      </c>
      <c r="T55" s="1286" t="s">
        <v>1700</v>
      </c>
      <c r="U55" s="1286"/>
      <c r="V55" s="1286"/>
      <c r="W55" s="1286"/>
      <c r="X55" s="1286"/>
      <c r="Y55" s="1286"/>
      <c r="Z55" s="1286"/>
      <c r="AA55" s="1286"/>
      <c r="AB55" s="1286"/>
      <c r="AC55" s="1286"/>
      <c r="AD55" s="1286"/>
      <c r="AE55" s="1286"/>
      <c r="AF55" s="1286"/>
      <c r="AG55" s="1286"/>
      <c r="AH55" s="1286"/>
      <c r="AI55" s="1286"/>
      <c r="AJ55" s="1286"/>
      <c r="AK55" s="1286"/>
    </row>
    <row r="56" spans="1:42" ht="14.25" hidden="1" customHeight="1">
      <c r="O56" s="60"/>
    </row>
    <row r="57" spans="1:42" ht="14.25" hidden="1" customHeight="1">
      <c r="O57" s="60"/>
      <c r="S57" s="204" t="s">
        <v>519</v>
      </c>
      <c r="T57" s="1286" t="s">
        <v>1701</v>
      </c>
      <c r="U57" s="1286"/>
      <c r="V57" s="1286"/>
      <c r="W57" s="1286"/>
      <c r="X57" s="1286"/>
      <c r="Y57" s="1286"/>
      <c r="Z57" s="1286"/>
      <c r="AA57" s="1286"/>
      <c r="AB57" s="1286"/>
      <c r="AC57" s="1286"/>
      <c r="AD57" s="1286"/>
      <c r="AE57" s="1286"/>
      <c r="AF57" s="1286"/>
      <c r="AG57" s="1286"/>
      <c r="AH57" s="1286"/>
      <c r="AI57" s="1286"/>
      <c r="AJ57" s="1286"/>
      <c r="AK57" s="1286"/>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2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2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2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2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52ADF-5DF7-8C8A-2CF2-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3"/>
      <c r="B2" s="793"/>
      <c r="C2" s="793"/>
      <c r="D2" s="793"/>
      <c r="E2" s="1287">
        <v>1</v>
      </c>
      <c r="F2" s="793"/>
      <c r="G2" s="793"/>
      <c r="H2" s="793"/>
      <c r="I2" s="793"/>
      <c r="J2" s="793"/>
      <c r="K2" s="793"/>
      <c r="L2" s="794"/>
      <c r="M2" s="433"/>
      <c r="N2" s="433"/>
      <c r="O2" s="433"/>
      <c r="Q2" s="2"/>
      <c r="R2" s="213"/>
      <c r="S2" s="725" t="e">
        <f>INDEX(PT_DIFFERENTIATION_NUM_NTAR,MATCH(A2,PT_DIFFERENTIATION_NTAR_ID,0))</f>
        <v>#N/A</v>
      </c>
      <c r="T2" s="64" t="s">
        <v>139</v>
      </c>
      <c r="U2" s="170"/>
      <c r="V2" s="1281"/>
      <c r="W2" s="1282"/>
      <c r="X2" s="1282"/>
      <c r="Y2" s="1282"/>
      <c r="Z2" s="1282"/>
      <c r="AA2" s="1282"/>
      <c r="AB2" s="1283"/>
      <c r="AC2" s="1281" t="e">
        <f>INDEX(PT_DIFFERENTIATION_NTAR,MATCH(A2,PT_DIFFERENTIATION_NTAR_ID,0))</f>
        <v>#N/A</v>
      </c>
      <c r="AD2" s="1282"/>
      <c r="AE2" s="1282"/>
      <c r="AF2" s="1282"/>
      <c r="AG2" s="1282"/>
      <c r="AH2" s="1282"/>
      <c r="AI2" s="1282"/>
      <c r="AJ2" s="1283"/>
      <c r="AK2" s="7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3"/>
      <c r="B3" s="793"/>
      <c r="C3" s="793"/>
      <c r="D3" s="793"/>
      <c r="E3" s="1288"/>
      <c r="F3" s="1287">
        <v>1</v>
      </c>
      <c r="G3" s="793"/>
      <c r="H3" s="793"/>
      <c r="I3" s="793"/>
      <c r="J3" s="793"/>
      <c r="K3" s="793"/>
      <c r="L3" s="794"/>
      <c r="M3" s="433"/>
      <c r="N3" s="433"/>
      <c r="O3" s="433"/>
      <c r="P3" s="56"/>
      <c r="Q3" s="210"/>
      <c r="R3" s="211"/>
      <c r="S3" s="725" t="e">
        <f>INDEX(PT_DIFFERENTIATION_NUM_TER,MATCH(B3,PT_DIFFERENTIATION_TER_ID,0))</f>
        <v>#N/A</v>
      </c>
      <c r="T3" s="178" t="s">
        <v>471</v>
      </c>
      <c r="U3" s="170"/>
      <c r="V3" s="1281"/>
      <c r="W3" s="1282"/>
      <c r="X3" s="1282"/>
      <c r="Y3" s="1282"/>
      <c r="Z3" s="1282"/>
      <c r="AA3" s="1282"/>
      <c r="AB3" s="1283"/>
      <c r="AC3" s="1281" t="e">
        <f>INDEX(PT_DIFFERENTIATION_TER,MATCH(B3,PT_DIFFERENTIATION_TER_ID,0))</f>
        <v>#N/A</v>
      </c>
      <c r="AD3" s="1282"/>
      <c r="AE3" s="1282"/>
      <c r="AF3" s="1282"/>
      <c r="AG3" s="1282"/>
      <c r="AH3" s="1282"/>
      <c r="AI3" s="1282"/>
      <c r="AJ3" s="1283"/>
      <c r="AK3" s="753" t="s">
        <v>472</v>
      </c>
      <c r="AM3" s="66"/>
      <c r="AN3" s="66" t="str">
        <f t="shared" si="0"/>
        <v>Территория действия тарифа</v>
      </c>
      <c r="AO3" s="66"/>
      <c r="AP3" s="66"/>
    </row>
    <row r="4" spans="1:42" ht="23.25" hidden="1" customHeight="1">
      <c r="A4" s="793"/>
      <c r="B4" s="793"/>
      <c r="C4" s="793"/>
      <c r="D4" s="793"/>
      <c r="E4" s="1288"/>
      <c r="F4" s="1288"/>
      <c r="G4" s="1287">
        <v>1</v>
      </c>
      <c r="H4" s="793"/>
      <c r="I4" s="793"/>
      <c r="J4" s="793"/>
      <c r="K4" s="793"/>
      <c r="L4" s="794"/>
      <c r="M4" s="433"/>
      <c r="N4" s="433"/>
      <c r="O4" s="433"/>
      <c r="P4" s="212"/>
      <c r="Q4" s="210"/>
      <c r="R4" s="211"/>
      <c r="S4" s="725" t="e">
        <f>INDEX(PT_DIFFERENTIATION_NUM_CS,MATCH(C4,PT_DIFFERENTIATION_CS_ID,0))</f>
        <v>#N/A</v>
      </c>
      <c r="T4" s="179" t="s">
        <v>1685</v>
      </c>
      <c r="U4" s="170"/>
      <c r="V4" s="1281"/>
      <c r="W4" s="1282"/>
      <c r="X4" s="1282"/>
      <c r="Y4" s="1282"/>
      <c r="Z4" s="1282"/>
      <c r="AA4" s="1282"/>
      <c r="AB4" s="1283"/>
      <c r="AC4" s="1281" t="e">
        <f>INDEX(PT_DIFFERENTIATION_CS,MATCH(C4,PT_DIFFERENTIATION_CS_ID,0))</f>
        <v>#N/A</v>
      </c>
      <c r="AD4" s="1282"/>
      <c r="AE4" s="1282"/>
      <c r="AF4" s="1282"/>
      <c r="AG4" s="1282"/>
      <c r="AH4" s="1282"/>
      <c r="AI4" s="1282"/>
      <c r="AJ4" s="1283"/>
      <c r="AK4" s="753" t="s">
        <v>1686</v>
      </c>
      <c r="AM4" s="66"/>
      <c r="AN4" s="66" t="str">
        <f t="shared" si="0"/>
        <v>Наименование централизованной системы холодного водоснабжения</v>
      </c>
      <c r="AO4" s="66"/>
      <c r="AP4" s="66"/>
    </row>
    <row r="5" spans="1:42" ht="23.25" hidden="1" customHeight="1">
      <c r="A5" s="793"/>
      <c r="B5" s="793"/>
      <c r="C5" s="793"/>
      <c r="D5" s="793"/>
      <c r="E5" s="1288"/>
      <c r="F5" s="1288"/>
      <c r="G5" s="1288"/>
      <c r="H5" s="1288"/>
      <c r="I5" s="1289" t="e">
        <f>S4&amp;".1"</f>
        <v>#N/A</v>
      </c>
      <c r="J5" s="793"/>
      <c r="K5" s="793"/>
      <c r="L5" s="794"/>
      <c r="P5" s="1211">
        <v>1</v>
      </c>
      <c r="Q5" s="119"/>
      <c r="R5" s="214"/>
      <c r="S5" s="725" t="e">
        <f>$I5</f>
        <v>#N/A</v>
      </c>
      <c r="T5" s="163" t="s">
        <v>1687</v>
      </c>
      <c r="U5" s="170"/>
      <c r="V5" s="1387"/>
      <c r="W5" s="1388"/>
      <c r="X5" s="1388"/>
      <c r="Y5" s="1388"/>
      <c r="Z5" s="1388"/>
      <c r="AA5" s="1388"/>
      <c r="AB5" s="1389"/>
      <c r="AC5" s="1390"/>
      <c r="AD5" s="1391"/>
      <c r="AE5" s="1391"/>
      <c r="AF5" s="1391"/>
      <c r="AG5" s="1391"/>
      <c r="AH5" s="1391"/>
      <c r="AI5" s="1391"/>
      <c r="AJ5" s="1392"/>
      <c r="AK5" s="753" t="s">
        <v>1688</v>
      </c>
      <c r="AM5" s="66"/>
      <c r="AN5" s="66" t="str">
        <f t="shared" si="0"/>
        <v>Наименование признака дифференциации</v>
      </c>
      <c r="AO5" s="66"/>
      <c r="AP5" s="66"/>
    </row>
    <row r="6" spans="1:42" ht="23.25" hidden="1" customHeight="1">
      <c r="A6" s="793"/>
      <c r="B6" s="793"/>
      <c r="C6" s="793"/>
      <c r="D6" s="793"/>
      <c r="E6" s="1288"/>
      <c r="F6" s="1288"/>
      <c r="G6" s="1288"/>
      <c r="H6" s="1288"/>
      <c r="I6" s="1290"/>
      <c r="J6" s="1289" t="e">
        <f>I5&amp;".1"</f>
        <v>#N/A</v>
      </c>
      <c r="K6" s="793"/>
      <c r="L6" s="794" t="s">
        <v>480</v>
      </c>
      <c r="P6" s="1211"/>
      <c r="Q6" s="1211">
        <v>1</v>
      </c>
      <c r="R6" s="215"/>
      <c r="S6" s="725" t="e">
        <f>$J6</f>
        <v>#N/A</v>
      </c>
      <c r="T6" s="164" t="s">
        <v>481</v>
      </c>
      <c r="U6" s="170"/>
      <c r="V6" s="1275"/>
      <c r="W6" s="1276"/>
      <c r="X6" s="1276"/>
      <c r="Y6" s="1276"/>
      <c r="Z6" s="1276"/>
      <c r="AA6" s="1276"/>
      <c r="AB6" s="1277"/>
      <c r="AC6" s="1275"/>
      <c r="AD6" s="1276"/>
      <c r="AE6" s="1276"/>
      <c r="AF6" s="1276"/>
      <c r="AG6" s="1276"/>
      <c r="AH6" s="1276"/>
      <c r="AI6" s="1276"/>
      <c r="AJ6" s="1277"/>
      <c r="AK6" s="778" t="s">
        <v>1689</v>
      </c>
      <c r="AM6" s="66"/>
      <c r="AN6" s="66" t="str">
        <f t="shared" si="0"/>
        <v>Группа потребителей</v>
      </c>
      <c r="AO6" s="66"/>
      <c r="AP6" s="66"/>
    </row>
    <row r="7" spans="1:42" ht="23.25" hidden="1" customHeight="1">
      <c r="A7" s="793"/>
      <c r="B7" s="793"/>
      <c r="C7" s="793"/>
      <c r="D7" s="793"/>
      <c r="E7" s="1288"/>
      <c r="F7" s="1288"/>
      <c r="G7" s="1288"/>
      <c r="H7" s="1288"/>
      <c r="I7" s="1290"/>
      <c r="J7" s="1290"/>
      <c r="K7" s="1289" t="e">
        <f>J6&amp;".1"</f>
        <v>#N/A</v>
      </c>
      <c r="L7" s="794"/>
      <c r="P7" s="1211"/>
      <c r="Q7" s="1211"/>
      <c r="R7" s="215">
        <v>1</v>
      </c>
      <c r="S7" s="725" t="e">
        <f>$K7</f>
        <v>#N/A</v>
      </c>
      <c r="T7" s="836"/>
      <c r="U7" s="170"/>
      <c r="V7" s="317"/>
      <c r="W7" s="317"/>
      <c r="X7" s="752"/>
      <c r="Y7" s="1291"/>
      <c r="Z7" s="1092" t="s">
        <v>59</v>
      </c>
      <c r="AA7" s="1291"/>
      <c r="AB7" s="1092" t="s">
        <v>59</v>
      </c>
      <c r="AC7" s="317"/>
      <c r="AD7" s="317"/>
      <c r="AE7" s="752"/>
      <c r="AF7" s="1291"/>
      <c r="AG7" s="1092" t="s">
        <v>59</v>
      </c>
      <c r="AH7" s="1293"/>
      <c r="AI7" s="1092" t="s">
        <v>59</v>
      </c>
      <c r="AJ7" s="837"/>
      <c r="AK7"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3"/>
      <c r="B8" s="793"/>
      <c r="C8" s="793"/>
      <c r="D8" s="793"/>
      <c r="E8" s="1288"/>
      <c r="F8" s="1288"/>
      <c r="G8" s="1288"/>
      <c r="H8" s="1288"/>
      <c r="I8" s="1290"/>
      <c r="J8" s="1290"/>
      <c r="K8" s="1289"/>
      <c r="L8" s="794"/>
      <c r="P8" s="1211"/>
      <c r="Q8" s="1211"/>
      <c r="R8" s="215"/>
      <c r="S8" s="62"/>
      <c r="T8" s="170"/>
      <c r="U8" s="170"/>
      <c r="V8" s="196"/>
      <c r="W8" s="196"/>
      <c r="X8" s="198" t="str">
        <f>Y7&amp;"-"&amp;AA7</f>
        <v>-</v>
      </c>
      <c r="Y8" s="1292"/>
      <c r="Z8" s="1092"/>
      <c r="AA8" s="1292"/>
      <c r="AB8" s="1092"/>
      <c r="AC8" s="196"/>
      <c r="AD8" s="196"/>
      <c r="AE8" s="198" t="str">
        <f>AF7&amp;"-"&amp;AH7</f>
        <v>-</v>
      </c>
      <c r="AF8" s="1292"/>
      <c r="AG8" s="1092"/>
      <c r="AH8" s="1294"/>
      <c r="AI8" s="1092"/>
      <c r="AJ8" s="396"/>
      <c r="AK8" s="1393"/>
      <c r="AM8" s="66"/>
      <c r="AN8" s="66" t="str">
        <f t="shared" si="0"/>
        <v/>
      </c>
      <c r="AO8" s="66"/>
      <c r="AP8" s="66"/>
    </row>
    <row r="9" spans="1:42" ht="21" hidden="1" customHeight="1">
      <c r="A9" s="793"/>
      <c r="B9" s="793"/>
      <c r="C9" s="793"/>
      <c r="D9" s="793"/>
      <c r="E9" s="1288"/>
      <c r="F9" s="1288"/>
      <c r="G9" s="1288"/>
      <c r="H9" s="1288"/>
      <c r="I9" s="1290"/>
      <c r="J9" s="1289"/>
      <c r="K9" s="793"/>
      <c r="L9" s="794"/>
      <c r="P9" s="1211"/>
      <c r="Q9" s="1211"/>
      <c r="R9" s="214"/>
      <c r="S9" s="767"/>
      <c r="T9" s="165" t="s">
        <v>1690</v>
      </c>
      <c r="U9" s="221"/>
      <c r="V9" s="221"/>
      <c r="W9" s="221"/>
      <c r="X9" s="221"/>
      <c r="Y9" s="221"/>
      <c r="Z9" s="221"/>
      <c r="AA9" s="221"/>
      <c r="AB9" s="221"/>
      <c r="AC9" s="221"/>
      <c r="AD9" s="221"/>
      <c r="AE9" s="221"/>
      <c r="AF9" s="221"/>
      <c r="AG9" s="221"/>
      <c r="AH9" s="221"/>
      <c r="AI9" s="221"/>
      <c r="AJ9" s="221"/>
      <c r="AK9" s="753" t="s">
        <v>1691</v>
      </c>
      <c r="AM9" s="66"/>
      <c r="AN9" s="66" t="str">
        <f t="shared" si="0"/>
        <v>Добавить значение признака дифференциации</v>
      </c>
      <c r="AO9" s="66"/>
      <c r="AP9" s="66"/>
    </row>
    <row r="10" spans="1:42" ht="21" hidden="1" customHeight="1">
      <c r="A10" s="793"/>
      <c r="B10" s="793"/>
      <c r="C10" s="793"/>
      <c r="D10" s="793"/>
      <c r="E10" s="1288"/>
      <c r="F10" s="1288"/>
      <c r="G10" s="1288"/>
      <c r="H10" s="1288"/>
      <c r="I10" s="1289"/>
      <c r="J10" s="793"/>
      <c r="K10" s="793"/>
      <c r="L10" s="794"/>
      <c r="P10" s="1211"/>
      <c r="Q10" s="119"/>
      <c r="R10" s="214"/>
      <c r="S10" s="767"/>
      <c r="T10" s="219" t="s">
        <v>486</v>
      </c>
      <c r="U10" s="221"/>
      <c r="V10" s="221"/>
      <c r="W10" s="221"/>
      <c r="X10" s="221"/>
      <c r="Y10" s="221"/>
      <c r="Z10" s="221"/>
      <c r="AA10" s="221"/>
      <c r="AB10" s="197"/>
      <c r="AC10" s="221"/>
      <c r="AD10" s="221"/>
      <c r="AE10" s="221"/>
      <c r="AF10" s="221"/>
      <c r="AG10" s="221"/>
      <c r="AH10" s="221"/>
      <c r="AI10" s="197"/>
      <c r="AJ10" s="221"/>
      <c r="AK10" s="838"/>
      <c r="AM10" s="66"/>
      <c r="AN10" s="66" t="str">
        <f t="shared" si="0"/>
        <v>Добавить группу потребителей</v>
      </c>
      <c r="AO10" s="66"/>
      <c r="AP10" s="66"/>
    </row>
    <row r="11" spans="1:42" ht="21" hidden="1" customHeight="1">
      <c r="A11" s="793"/>
      <c r="B11" s="793"/>
      <c r="C11" s="793"/>
      <c r="D11" s="793"/>
      <c r="E11" s="1288"/>
      <c r="F11" s="1288"/>
      <c r="G11" s="1288"/>
      <c r="H11" s="1287"/>
      <c r="I11" s="793"/>
      <c r="J11" s="793"/>
      <c r="K11" s="793"/>
      <c r="L11" s="794"/>
      <c r="M11" s="433"/>
      <c r="N11" s="433"/>
      <c r="O11" s="60"/>
      <c r="P11" s="2"/>
      <c r="Q11" s="224"/>
      <c r="R11" s="213"/>
      <c r="S11" s="767"/>
      <c r="T11" s="104" t="s">
        <v>1692</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88"/>
      <c r="F12" s="1287"/>
      <c r="G12" s="142"/>
      <c r="H12" s="142"/>
      <c r="I12" s="142"/>
      <c r="J12" s="142"/>
      <c r="K12" s="142"/>
      <c r="L12" s="355"/>
      <c r="M12" s="784"/>
      <c r="N12" s="784"/>
      <c r="P12" s="101"/>
      <c r="Q12" s="780"/>
      <c r="R12" s="101"/>
      <c r="S12" s="785"/>
      <c r="T12" s="787" t="s">
        <v>445</v>
      </c>
      <c r="U12" s="323"/>
      <c r="V12" s="323"/>
      <c r="W12" s="323"/>
      <c r="X12" s="323"/>
      <c r="Y12" s="323"/>
      <c r="Z12" s="323"/>
      <c r="AA12" s="323"/>
      <c r="AB12" s="323"/>
      <c r="AC12" s="323"/>
      <c r="AD12" s="323"/>
      <c r="AE12" s="323"/>
      <c r="AF12" s="323"/>
      <c r="AG12" s="323"/>
      <c r="AH12" s="323"/>
      <c r="AI12" s="323"/>
      <c r="AJ12" s="323"/>
      <c r="AK12" s="323"/>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87"/>
      <c r="F13" s="142"/>
      <c r="G13" s="142"/>
      <c r="H13" s="142"/>
      <c r="I13" s="142"/>
      <c r="J13" s="142"/>
      <c r="K13" s="142"/>
      <c r="L13" s="355"/>
      <c r="M13" s="784"/>
      <c r="N13" s="784"/>
      <c r="P13" s="101"/>
      <c r="Q13" s="780"/>
      <c r="R13" s="101"/>
      <c r="S13" s="785"/>
      <c r="T13" s="787" t="s">
        <v>446</v>
      </c>
      <c r="U13" s="323"/>
      <c r="V13" s="323"/>
      <c r="W13" s="323"/>
      <c r="X13" s="323"/>
      <c r="Y13" s="323"/>
      <c r="Z13" s="323"/>
      <c r="AA13" s="323"/>
      <c r="AB13" s="323"/>
      <c r="AC13" s="323"/>
      <c r="AD13" s="323"/>
      <c r="AE13" s="323"/>
      <c r="AF13" s="323"/>
      <c r="AG13" s="323"/>
      <c r="AH13" s="323"/>
      <c r="AI13" s="323"/>
      <c r="AJ13" s="323"/>
      <c r="AK13" s="323"/>
      <c r="AM13" s="66"/>
      <c r="AN13" s="66" t="str">
        <f t="shared" si="0"/>
        <v>Добавить территорию для дифференциации</v>
      </c>
      <c r="AO13" s="66"/>
      <c r="AP13" s="66"/>
    </row>
    <row r="14" spans="1:42" ht="14.25" hidden="1" customHeight="1"/>
    <row r="15" spans="1:42" ht="14.25" hidden="1" customHeight="1">
      <c r="AC15" s="376"/>
      <c r="AD15" s="376"/>
      <c r="AE15" s="792"/>
      <c r="AF15" s="1285"/>
      <c r="AG15" s="1284" t="s">
        <v>59</v>
      </c>
      <c r="AH15" s="1285"/>
      <c r="AI15" s="1284" t="s">
        <v>59</v>
      </c>
    </row>
    <row r="16" spans="1:42" ht="14.25" hidden="1" customHeight="1">
      <c r="AC16" s="376"/>
      <c r="AD16" s="376"/>
      <c r="AE16" s="198" t="str">
        <f>AF15&amp;"-"&amp;AH15</f>
        <v>-</v>
      </c>
      <c r="AF16" s="1284"/>
      <c r="AG16" s="1284"/>
      <c r="AH16" s="1284"/>
      <c r="AI16" s="1284"/>
    </row>
    <row r="17" spans="1:42" ht="14.25" hidden="1" customHeight="1"/>
    <row r="18" spans="1:42" s="60" customFormat="1" ht="22.5" hidden="1" customHeight="1">
      <c r="L18" s="312"/>
      <c r="M18" s="519"/>
      <c r="N18" s="519"/>
      <c r="O18" s="795" t="s">
        <v>488</v>
      </c>
      <c r="P18" s="519"/>
      <c r="Q18" s="796"/>
      <c r="R18" s="796"/>
      <c r="S18" s="433"/>
      <c r="Y18" s="795"/>
      <c r="AA18" s="795"/>
      <c r="AF18" s="795"/>
      <c r="AH18" s="795"/>
      <c r="AL18" s="65"/>
      <c r="AM18" s="65"/>
      <c r="AN18" s="65"/>
      <c r="AO18" s="65"/>
      <c r="AP18" s="65"/>
    </row>
    <row r="19" spans="1:42" s="60" customFormat="1" ht="14.25" hidden="1" customHeight="1">
      <c r="L19" s="312"/>
      <c r="M19" s="519"/>
      <c r="N19" s="519"/>
      <c r="O19" s="519"/>
      <c r="P19" s="519"/>
      <c r="Q19" s="796"/>
      <c r="R19" s="796"/>
      <c r="S19" s="433"/>
      <c r="AL19" s="65"/>
      <c r="AM19" s="65"/>
      <c r="AN19" s="65"/>
      <c r="AO19" s="65"/>
      <c r="AP19" s="65"/>
    </row>
    <row r="20" spans="1:42" s="60" customFormat="1" ht="12" hidden="1" customHeight="1">
      <c r="L20" s="312"/>
      <c r="M20" s="519"/>
      <c r="N20" s="519"/>
      <c r="O20" s="794" t="s">
        <v>489</v>
      </c>
      <c r="P20" s="519"/>
      <c r="Q20" s="839"/>
      <c r="R20" s="839"/>
      <c r="S20" s="433"/>
      <c r="T20" s="60" t="s">
        <v>490</v>
      </c>
      <c r="Z20" s="79" t="s">
        <v>491</v>
      </c>
      <c r="AB20" s="79" t="s">
        <v>492</v>
      </c>
      <c r="AC20" s="60" t="s">
        <v>490</v>
      </c>
      <c r="AG20" s="79" t="s">
        <v>493</v>
      </c>
      <c r="AI20" s="79" t="s">
        <v>492</v>
      </c>
    </row>
    <row r="21" spans="1:42" ht="14.25" hidden="1" customHeight="1">
      <c r="O21" s="794"/>
    </row>
    <row r="22" spans="1:42" ht="14.25" hidden="1" customHeight="1">
      <c r="O22" s="794"/>
    </row>
    <row r="23" spans="1:42" ht="14.25" customHeight="1">
      <c r="Q23" s="27"/>
      <c r="R23" s="27"/>
      <c r="S23" s="764"/>
      <c r="T23" s="8"/>
      <c r="U23" s="8"/>
    </row>
    <row r="24" spans="1:42" ht="32.25" customHeight="1">
      <c r="Q24" s="27"/>
      <c r="R24" s="27"/>
      <c r="S24" s="131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312"/>
      <c r="U24" s="1312"/>
      <c r="V24" s="1312"/>
      <c r="W24" s="1312"/>
      <c r="X24" s="1312"/>
      <c r="Y24" s="1312"/>
      <c r="Z24" s="1312"/>
      <c r="AA24" s="1312"/>
      <c r="AB24" s="1312"/>
      <c r="AC24" s="1312"/>
      <c r="AD24" s="1312"/>
      <c r="AE24" s="1312"/>
      <c r="AF24" s="1312"/>
      <c r="AG24" s="1312"/>
      <c r="AH24" s="1312"/>
      <c r="AI24" s="57"/>
    </row>
    <row r="25" spans="1:42" ht="14.25" customHeight="1">
      <c r="Q25" s="27"/>
      <c r="R25" s="27"/>
      <c r="S25" s="1178" t="str">
        <f>IF(org=0,"Не определено",org)</f>
        <v>ООО "Концессионная Коммунальная Компания"</v>
      </c>
      <c r="T25" s="1178"/>
      <c r="U25" s="1178"/>
      <c r="V25" s="1178"/>
      <c r="W25" s="1178"/>
      <c r="X25" s="1178"/>
      <c r="Y25" s="1178"/>
      <c r="Z25" s="1178"/>
      <c r="AA25" s="1178"/>
      <c r="AB25" s="1178"/>
      <c r="AC25" s="1178"/>
      <c r="AD25" s="1178"/>
      <c r="AE25" s="1178"/>
      <c r="AF25" s="1178"/>
      <c r="AG25" s="1178"/>
      <c r="AH25" s="1178"/>
      <c r="AI25" s="57"/>
    </row>
    <row r="26" spans="1:42" ht="14.25" hidden="1" customHeight="1">
      <c r="Q26" s="27"/>
      <c r="R26" s="27"/>
      <c r="S26" s="764"/>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4"/>
      <c r="M27" s="79"/>
      <c r="N27" s="79"/>
      <c r="O27" s="79"/>
      <c r="S27" s="1278" t="s">
        <v>40</v>
      </c>
      <c r="T27" s="1278"/>
      <c r="U27" s="797"/>
      <c r="V27" s="1280" t="str">
        <f>IF(TITLE_NAME_OR_PR_CHANGE="",IF(TITLE_NAME_OR_PR="","",TITLE_NAME_OR_PR),TITLE_NAME_OR_PR_CHANGE)</f>
        <v/>
      </c>
      <c r="W27" s="1280"/>
      <c r="X27" s="1280"/>
      <c r="Y27" s="1280"/>
      <c r="Z27" s="1280"/>
      <c r="AA27" s="1280"/>
      <c r="AB27" s="9"/>
      <c r="AC27" s="1280" t="str">
        <f>IF(TITLE_NAME_OR_PR_CHANGE="",IF(TITLE_NAME_OR_PR="","",TITLE_NAME_OR_PR),TITLE_NAME_OR_PR_CHANGE)</f>
        <v/>
      </c>
      <c r="AD27" s="1280"/>
      <c r="AE27" s="1280"/>
      <c r="AF27" s="1280"/>
      <c r="AG27" s="1280"/>
      <c r="AH27" s="1280"/>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4"/>
      <c r="M28" s="79"/>
      <c r="N28" s="79"/>
      <c r="O28" s="79"/>
      <c r="S28" s="1278" t="s">
        <v>494</v>
      </c>
      <c r="T28" s="1278"/>
      <c r="U28" s="797"/>
      <c r="V28" s="1279" t="str">
        <f>IF(TITLE_DATE_CHANGE_PERIOD="",IF(TITLE_DATE_PR="","",TITLE_DATE_PR),TITLE_DATE_CHANGE_PERIOD)</f>
        <v/>
      </c>
      <c r="W28" s="1279"/>
      <c r="X28" s="1279"/>
      <c r="Y28" s="1279"/>
      <c r="Z28" s="1279"/>
      <c r="AA28" s="1279"/>
      <c r="AB28" s="9"/>
      <c r="AC28" s="1279" t="str">
        <f>IF(TITLE_DATE_CHANGE_PERIOD="",IF(TITLE_DATE_PR="","",TITLE_DATE_PR),TITLE_DATE_CHANGE_PERIOD)</f>
        <v/>
      </c>
      <c r="AD28" s="1279"/>
      <c r="AE28" s="1279"/>
      <c r="AF28" s="1279"/>
      <c r="AG28" s="1279"/>
      <c r="AH28" s="1279"/>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4"/>
      <c r="M29" s="79"/>
      <c r="N29" s="79"/>
      <c r="O29" s="79"/>
      <c r="S29" s="1278" t="s">
        <v>495</v>
      </c>
      <c r="T29" s="1278"/>
      <c r="U29" s="797"/>
      <c r="V29" s="1280" t="str">
        <f>IF(TITLE_NUMBER_PR_CHANGE="",IF(TITLE_NUMBER_PR="","",TITLE_NUMBER_PR),TITLE_NUMBER_PR_CHANGE)</f>
        <v/>
      </c>
      <c r="W29" s="1280"/>
      <c r="X29" s="1280"/>
      <c r="Y29" s="1280"/>
      <c r="Z29" s="1280"/>
      <c r="AA29" s="1280"/>
      <c r="AB29" s="9"/>
      <c r="AC29" s="1280" t="str">
        <f>IF(TITLE_NUMBER_PR_CHANGE="",IF(TITLE_NUMBER_PR="","",TITLE_NUMBER_PR),TITLE_NUMBER_PR_CHANGE)</f>
        <v/>
      </c>
      <c r="AD29" s="1280"/>
      <c r="AE29" s="1280"/>
      <c r="AF29" s="1280"/>
      <c r="AG29" s="1280"/>
      <c r="AH29" s="1280"/>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4"/>
      <c r="M30" s="79"/>
      <c r="N30" s="79"/>
      <c r="O30" s="79"/>
      <c r="S30" s="1278" t="s">
        <v>41</v>
      </c>
      <c r="T30" s="1278"/>
      <c r="U30" s="797"/>
      <c r="V30" s="1280" t="str">
        <f>IF(TITLE_IST_PUB_CHANGE="",IF(TITLE_IST_PUB="","",TITLE_IST_PUB),TITLE_IST_PUB_CHANGE)</f>
        <v/>
      </c>
      <c r="W30" s="1280"/>
      <c r="X30" s="1280"/>
      <c r="Y30" s="1280"/>
      <c r="Z30" s="1280"/>
      <c r="AA30" s="1280"/>
      <c r="AB30" s="9"/>
      <c r="AC30" s="1280" t="str">
        <f>IF(TITLE_IST_PUB_CHANGE="",IF(TITLE_IST_PUB="","",TITLE_IST_PUB),TITLE_IST_PUB_CHANGE)</f>
        <v/>
      </c>
      <c r="AD30" s="1280"/>
      <c r="AE30" s="1280"/>
      <c r="AF30" s="1280"/>
      <c r="AG30" s="1280"/>
      <c r="AH30" s="1280"/>
      <c r="AI30" s="9"/>
      <c r="AJ30" s="9"/>
      <c r="AK30" s="162"/>
      <c r="AL30" s="66"/>
      <c r="AM30" s="66"/>
      <c r="AN30" s="66"/>
      <c r="AO30" s="66"/>
      <c r="AP30" s="66"/>
    </row>
    <row r="31" spans="1:42" ht="14.25" hidden="1" customHeight="1">
      <c r="Q31" s="27"/>
      <c r="R31" s="27"/>
      <c r="S31" s="764"/>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4"/>
      <c r="M32" s="79"/>
      <c r="N32" s="79"/>
      <c r="O32" s="79"/>
      <c r="S32" s="1278" t="s">
        <v>496</v>
      </c>
      <c r="T32" s="1278"/>
      <c r="U32" s="797"/>
      <c r="V32" s="1279" t="str">
        <f>IF(TITLE_DATE_CHANGE_PERIOD="",IF(TITLE_DATE_PR="","",TITLE_DATE_PR),TITLE_DATE_CHANGE_PERIOD)</f>
        <v/>
      </c>
      <c r="W32" s="1279"/>
      <c r="X32" s="1279"/>
      <c r="Y32" s="1279"/>
      <c r="Z32" s="1279"/>
      <c r="AA32" s="1279"/>
      <c r="AB32" s="9"/>
      <c r="AC32" s="1279" t="str">
        <f>IF(TITLE_DATE_CHANGE_PERIOD="",IF(TITLE_DATE_PR="","",TITLE_DATE_PR),TITLE_DATE_CHANGE_PERIOD)</f>
        <v/>
      </c>
      <c r="AD32" s="1279"/>
      <c r="AE32" s="1279"/>
      <c r="AF32" s="1279"/>
      <c r="AG32" s="1279"/>
      <c r="AH32" s="1279"/>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4"/>
      <c r="M33" s="79"/>
      <c r="N33" s="79"/>
      <c r="O33" s="79"/>
      <c r="S33" s="1278" t="s">
        <v>497</v>
      </c>
      <c r="T33" s="1278"/>
      <c r="U33" s="797"/>
      <c r="V33" s="1280" t="str">
        <f>IF(TITLE_NUMBER_PR_CHANGE="",IF(TITLE_NUMBER_PR="","",TITLE_NUMBER_PR),TITLE_NUMBER_PR_CHANGE)</f>
        <v/>
      </c>
      <c r="W33" s="1280"/>
      <c r="X33" s="1280"/>
      <c r="Y33" s="1280"/>
      <c r="Z33" s="1280"/>
      <c r="AA33" s="1280"/>
      <c r="AB33" s="9"/>
      <c r="AC33" s="1280" t="str">
        <f>IF(TITLE_NUMBER_PR_CHANGE="",IF(TITLE_NUMBER_PR="","",TITLE_NUMBER_PR),TITLE_NUMBER_PR_CHANGE)</f>
        <v/>
      </c>
      <c r="AD33" s="1280"/>
      <c r="AE33" s="1280"/>
      <c r="AF33" s="1280"/>
      <c r="AG33" s="1280"/>
      <c r="AH33" s="1280"/>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4"/>
      <c r="M34" s="79"/>
      <c r="N34" s="79"/>
      <c r="O34" s="79"/>
      <c r="S34" s="9"/>
      <c r="T34" s="9"/>
      <c r="U34" s="75"/>
      <c r="V34" s="9"/>
      <c r="W34" s="9"/>
      <c r="X34" s="9"/>
      <c r="Y34" s="9"/>
      <c r="Z34" s="9"/>
      <c r="AA34" s="9"/>
      <c r="AB34" s="65" t="s">
        <v>498</v>
      </c>
      <c r="AC34" s="9"/>
      <c r="AD34" s="9"/>
      <c r="AE34" s="9"/>
      <c r="AF34" s="9"/>
      <c r="AG34" s="9"/>
      <c r="AH34" s="9"/>
      <c r="AI34" s="65" t="s">
        <v>498</v>
      </c>
      <c r="AL34" s="66"/>
      <c r="AM34" s="66"/>
      <c r="AN34" s="66"/>
      <c r="AO34" s="66"/>
      <c r="AP34" s="66"/>
    </row>
    <row r="35" spans="1:42" ht="14.25" customHeight="1">
      <c r="Q35" s="27"/>
      <c r="R35" s="27"/>
      <c r="S35" s="764"/>
      <c r="T35" s="8"/>
      <c r="U35" s="736"/>
      <c r="V35" s="1298"/>
      <c r="W35" s="1298"/>
      <c r="X35" s="1298"/>
      <c r="Y35" s="1298"/>
      <c r="Z35" s="1298"/>
      <c r="AA35" s="1298"/>
      <c r="AB35" s="1298"/>
      <c r="AC35" s="1298"/>
      <c r="AD35" s="1298"/>
      <c r="AE35" s="1298"/>
      <c r="AF35" s="1298"/>
      <c r="AG35" s="1298"/>
      <c r="AH35" s="1298"/>
      <c r="AI35" s="1298"/>
    </row>
    <row r="36" spans="1:42" ht="14.25" customHeight="1">
      <c r="Q36" s="27"/>
      <c r="R36" s="27"/>
      <c r="S36" s="1082" t="s">
        <v>302</v>
      </c>
      <c r="T36" s="1082"/>
      <c r="U36" s="1082"/>
      <c r="V36" s="1082"/>
      <c r="W36" s="1082"/>
      <c r="X36" s="1082"/>
      <c r="Y36" s="1082"/>
      <c r="Z36" s="1082"/>
      <c r="AA36" s="1082"/>
      <c r="AB36" s="1082"/>
      <c r="AC36" s="1082"/>
      <c r="AD36" s="1082"/>
      <c r="AE36" s="1082"/>
      <c r="AF36" s="1082"/>
      <c r="AG36" s="1082"/>
      <c r="AH36" s="1082"/>
      <c r="AI36" s="1082"/>
      <c r="AJ36" s="1082"/>
      <c r="AK36" s="1082" t="s">
        <v>303</v>
      </c>
    </row>
    <row r="37" spans="1:42" ht="14.25" customHeight="1">
      <c r="Q37" s="27"/>
      <c r="R37" s="27"/>
      <c r="S37" s="1299" t="s">
        <v>88</v>
      </c>
      <c r="T37" s="1176" t="s">
        <v>499</v>
      </c>
      <c r="U37" s="171"/>
      <c r="V37" s="1300" t="s">
        <v>500</v>
      </c>
      <c r="W37" s="1301"/>
      <c r="X37" s="1301"/>
      <c r="Y37" s="1301"/>
      <c r="Z37" s="1301"/>
      <c r="AA37" s="1302"/>
      <c r="AB37" s="1303" t="s">
        <v>501</v>
      </c>
      <c r="AC37" s="1300" t="s">
        <v>500</v>
      </c>
      <c r="AD37" s="1301"/>
      <c r="AE37" s="1301"/>
      <c r="AF37" s="1301"/>
      <c r="AG37" s="1301"/>
      <c r="AH37" s="1302"/>
      <c r="AI37" s="1303" t="s">
        <v>502</v>
      </c>
      <c r="AJ37" s="1306" t="s">
        <v>503</v>
      </c>
      <c r="AK37" s="1082"/>
    </row>
    <row r="38" spans="1:42" ht="33.75" customHeight="1">
      <c r="Q38" s="27"/>
      <c r="R38" s="27"/>
      <c r="S38" s="1299"/>
      <c r="T38" s="1176"/>
      <c r="U38" s="621"/>
      <c r="V38" s="349" t="s">
        <v>1693</v>
      </c>
      <c r="W38" s="1063" t="s">
        <v>506</v>
      </c>
      <c r="X38" s="1062"/>
      <c r="Y38" s="1063" t="s">
        <v>507</v>
      </c>
      <c r="Z38" s="1068"/>
      <c r="AA38" s="1062"/>
      <c r="AB38" s="1304"/>
      <c r="AC38" s="349" t="s">
        <v>1693</v>
      </c>
      <c r="AD38" s="1063" t="s">
        <v>506</v>
      </c>
      <c r="AE38" s="1062"/>
      <c r="AF38" s="1063" t="s">
        <v>507</v>
      </c>
      <c r="AG38" s="1068"/>
      <c r="AH38" s="1062"/>
      <c r="AI38" s="1304"/>
      <c r="AJ38" s="1307"/>
      <c r="AK38" s="1082"/>
    </row>
    <row r="39" spans="1:42" ht="33.75" customHeight="1">
      <c r="A39" s="79"/>
      <c r="B39" s="79" t="s">
        <v>151</v>
      </c>
      <c r="C39" s="79" t="s">
        <v>152</v>
      </c>
      <c r="D39" s="79" t="s">
        <v>153</v>
      </c>
      <c r="E39" s="794" t="s">
        <v>508</v>
      </c>
      <c r="F39" s="794" t="s">
        <v>509</v>
      </c>
      <c r="G39" s="794" t="s">
        <v>510</v>
      </c>
      <c r="H39" s="794"/>
      <c r="I39" s="794" t="s">
        <v>1694</v>
      </c>
      <c r="J39" s="794" t="s">
        <v>513</v>
      </c>
      <c r="K39" s="794" t="s">
        <v>1695</v>
      </c>
      <c r="L39" s="794" t="s">
        <v>489</v>
      </c>
      <c r="Q39" s="27"/>
      <c r="R39" s="27"/>
      <c r="S39" s="1299"/>
      <c r="T39" s="1176"/>
      <c r="U39" s="172"/>
      <c r="V39" s="349" t="s">
        <v>1696</v>
      </c>
      <c r="W39" s="37" t="s">
        <v>1697</v>
      </c>
      <c r="X39" s="37" t="s">
        <v>1698</v>
      </c>
      <c r="Y39" s="37" t="s">
        <v>517</v>
      </c>
      <c r="Z39" s="1182" t="s">
        <v>518</v>
      </c>
      <c r="AA39" s="1195"/>
      <c r="AB39" s="1305"/>
      <c r="AC39" s="349" t="s">
        <v>1696</v>
      </c>
      <c r="AD39" s="37" t="s">
        <v>1697</v>
      </c>
      <c r="AE39" s="37" t="s">
        <v>1698</v>
      </c>
      <c r="AF39" s="37" t="s">
        <v>517</v>
      </c>
      <c r="AG39" s="1182" t="s">
        <v>518</v>
      </c>
      <c r="AH39" s="1195"/>
      <c r="AI39" s="1305"/>
      <c r="AJ39" s="1308"/>
      <c r="AK39" s="1082"/>
    </row>
    <row r="40" spans="1:42" s="209" customFormat="1" ht="0" hidden="1" customHeight="1">
      <c r="A40" s="79"/>
      <c r="B40" s="79"/>
      <c r="C40" s="79"/>
      <c r="D40" s="79"/>
      <c r="E40" s="79"/>
      <c r="F40" s="79"/>
      <c r="G40" s="79"/>
      <c r="H40" s="79"/>
      <c r="I40" s="79"/>
      <c r="J40" s="79"/>
      <c r="K40" s="79"/>
      <c r="L40" s="794"/>
      <c r="M40" s="519"/>
      <c r="N40" s="519"/>
      <c r="O40" s="519"/>
      <c r="P40" s="738"/>
      <c r="Q40" s="739"/>
      <c r="R40" s="747">
        <v>1</v>
      </c>
      <c r="S40" s="766" t="s">
        <v>119</v>
      </c>
      <c r="T40" s="748" t="s">
        <v>103</v>
      </c>
      <c r="U40" s="737" t="str">
        <f ca="1">OFFSET(U40,0,-1)</f>
        <v>2</v>
      </c>
      <c r="V40" s="749">
        <f ca="1">OFFSET(V40,0,-1)+1</f>
        <v>3</v>
      </c>
      <c r="W40" s="749">
        <f ca="1">OFFSET(W40,0,-1)+1</f>
        <v>4</v>
      </c>
      <c r="X40" s="749">
        <f ca="1">OFFSET(X40,0,-1)+1</f>
        <v>5</v>
      </c>
      <c r="Y40" s="749">
        <f ca="1">OFFSET(Y40,0,-1)+1</f>
        <v>6</v>
      </c>
      <c r="Z40" s="1297">
        <f ca="1">OFFSET(Z40,0,-1)+1</f>
        <v>7</v>
      </c>
      <c r="AA40" s="1297"/>
      <c r="AB40" s="749">
        <f ca="1">OFFSET(AB40,0,-2)+1</f>
        <v>8</v>
      </c>
      <c r="AC40" s="749">
        <f ca="1">OFFSET(AC40,0,-1)+1</f>
        <v>9</v>
      </c>
      <c r="AD40" s="749">
        <f ca="1">OFFSET(AD40,0,-1)+1</f>
        <v>10</v>
      </c>
      <c r="AE40" s="749">
        <f ca="1">OFFSET(AE40,0,-1)+1</f>
        <v>11</v>
      </c>
      <c r="AF40" s="749">
        <f ca="1">OFFSET(AF40,0,-1)+1</f>
        <v>12</v>
      </c>
      <c r="AG40" s="1297">
        <f ca="1">OFFSET(AG40,0,-1)+1</f>
        <v>13</v>
      </c>
      <c r="AH40" s="1297"/>
      <c r="AI40" s="749">
        <f ca="1">OFFSET(AI40,0,-2)+1</f>
        <v>14</v>
      </c>
      <c r="AJ40" s="737">
        <f ca="1">OFFSET(AJ40,0,-1)</f>
        <v>14</v>
      </c>
      <c r="AK40" s="749">
        <f ca="1">OFFSET(AK40,0,-1)+1</f>
        <v>15</v>
      </c>
      <c r="AL40" s="65"/>
      <c r="AM40" s="65"/>
      <c r="AN40" s="65"/>
      <c r="AO40" s="65"/>
      <c r="AP40" s="65"/>
    </row>
    <row r="41" spans="1:42" ht="23.25" customHeight="1">
      <c r="A41" s="793" t="s">
        <v>238</v>
      </c>
      <c r="B41" s="793"/>
      <c r="C41" s="793"/>
      <c r="D41" s="793"/>
      <c r="E41" s="1287">
        <v>1</v>
      </c>
      <c r="F41" s="793"/>
      <c r="G41" s="793"/>
      <c r="H41" s="793"/>
      <c r="I41" s="793"/>
      <c r="J41" s="793"/>
      <c r="K41" s="793"/>
      <c r="L41" s="794"/>
      <c r="M41" s="433"/>
      <c r="N41" s="433"/>
      <c r="O41" s="433"/>
      <c r="Q41" s="2"/>
      <c r="R41" s="213"/>
      <c r="S41" s="725">
        <f>INDEX(PT_DIFFERENTIATION_NUM_NTAR,MATCH(A41,PT_DIFFERENTIATION_NTAR_ID,0))</f>
        <v>0</v>
      </c>
      <c r="T41" s="64" t="s">
        <v>139</v>
      </c>
      <c r="U41" s="170"/>
      <c r="V41" s="1281"/>
      <c r="W41" s="1282"/>
      <c r="X41" s="1282"/>
      <c r="Y41" s="1282"/>
      <c r="Z41" s="1282"/>
      <c r="AA41" s="1282"/>
      <c r="AB41" s="1283"/>
      <c r="AC41" s="1281" t="str">
        <f>INDEX(PT_DIFFERENTIATION_NTAR,MATCH(A41,PT_DIFFERENTIATION_NTAR_ID,0))</f>
        <v/>
      </c>
      <c r="AD41" s="1282"/>
      <c r="AE41" s="1282"/>
      <c r="AF41" s="1282"/>
      <c r="AG41" s="1282"/>
      <c r="AH41" s="1282"/>
      <c r="AI41" s="1282"/>
      <c r="AJ41" s="1283"/>
      <c r="AK41" s="7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3" t="s">
        <v>238</v>
      </c>
      <c r="B42" s="793" t="s">
        <v>239</v>
      </c>
      <c r="C42" s="793"/>
      <c r="D42" s="793"/>
      <c r="E42" s="1288"/>
      <c r="F42" s="1287">
        <v>1</v>
      </c>
      <c r="G42" s="793"/>
      <c r="H42" s="793"/>
      <c r="I42" s="793"/>
      <c r="J42" s="793"/>
      <c r="K42" s="793"/>
      <c r="L42" s="794"/>
      <c r="M42" s="433"/>
      <c r="N42" s="433"/>
      <c r="O42" s="433"/>
      <c r="P42" s="56"/>
      <c r="Q42" s="210"/>
      <c r="R42" s="211"/>
      <c r="S42" s="725" t="str">
        <f>INDEX(PT_DIFFERENTIATION_NUM_TER,MATCH(B42,PT_DIFFERENTIATION_TER_ID,0))</f>
        <v>.</v>
      </c>
      <c r="T42" s="178" t="s">
        <v>471</v>
      </c>
      <c r="U42" s="170"/>
      <c r="V42" s="1281"/>
      <c r="W42" s="1282"/>
      <c r="X42" s="1282"/>
      <c r="Y42" s="1282"/>
      <c r="Z42" s="1282"/>
      <c r="AA42" s="1282"/>
      <c r="AB42" s="1283"/>
      <c r="AC42" s="1281" t="str">
        <f>INDEX(PT_DIFFERENTIATION_TER,MATCH(B42,PT_DIFFERENTIATION_TER_ID,0))</f>
        <v/>
      </c>
      <c r="AD42" s="1282"/>
      <c r="AE42" s="1282"/>
      <c r="AF42" s="1282"/>
      <c r="AG42" s="1282"/>
      <c r="AH42" s="1282"/>
      <c r="AI42" s="1282"/>
      <c r="AJ42" s="1283"/>
      <c r="AK42" s="753" t="s">
        <v>472</v>
      </c>
      <c r="AM42" s="66"/>
      <c r="AN42" s="66" t="str">
        <f t="shared" si="1"/>
        <v>Территория действия тарифа</v>
      </c>
      <c r="AO42" s="66"/>
      <c r="AP42" s="66"/>
    </row>
    <row r="43" spans="1:42" ht="23.25" customHeight="1">
      <c r="A43" s="793" t="s">
        <v>238</v>
      </c>
      <c r="B43" s="793" t="s">
        <v>239</v>
      </c>
      <c r="C43" s="793" t="s">
        <v>240</v>
      </c>
      <c r="D43" s="793"/>
      <c r="E43" s="1288"/>
      <c r="F43" s="1288"/>
      <c r="G43" s="1287">
        <v>1</v>
      </c>
      <c r="H43" s="793"/>
      <c r="I43" s="793"/>
      <c r="J43" s="793"/>
      <c r="K43" s="793"/>
      <c r="L43" s="794"/>
      <c r="M43" s="433"/>
      <c r="N43" s="433"/>
      <c r="O43" s="433"/>
      <c r="P43" s="212"/>
      <c r="Q43" s="210"/>
      <c r="R43" s="211"/>
      <c r="S43" s="725" t="str">
        <f>INDEX(PT_DIFFERENTIATION_NUM_CS,MATCH(C43,PT_DIFFERENTIATION_CS_ID,0))</f>
        <v>..</v>
      </c>
      <c r="T43" s="179" t="s">
        <v>1685</v>
      </c>
      <c r="U43" s="170"/>
      <c r="V43" s="1281"/>
      <c r="W43" s="1282"/>
      <c r="X43" s="1282"/>
      <c r="Y43" s="1282"/>
      <c r="Z43" s="1282"/>
      <c r="AA43" s="1282"/>
      <c r="AB43" s="1283"/>
      <c r="AC43" s="1281" t="str">
        <f>INDEX(PT_DIFFERENTIATION_CS,MATCH(C43,PT_DIFFERENTIATION_CS_ID,0))</f>
        <v/>
      </c>
      <c r="AD43" s="1282"/>
      <c r="AE43" s="1282"/>
      <c r="AF43" s="1282"/>
      <c r="AG43" s="1282"/>
      <c r="AH43" s="1282"/>
      <c r="AI43" s="1282"/>
      <c r="AJ43" s="1283"/>
      <c r="AK43" s="753" t="s">
        <v>1686</v>
      </c>
      <c r="AM43" s="66"/>
      <c r="AN43" s="66" t="str">
        <f t="shared" si="1"/>
        <v>Наименование централизованной системы холодного водоснабжения</v>
      </c>
      <c r="AO43" s="66"/>
      <c r="AP43" s="66"/>
    </row>
    <row r="44" spans="1:42" ht="23.25" customHeight="1">
      <c r="A44" s="793" t="s">
        <v>238</v>
      </c>
      <c r="B44" s="793" t="s">
        <v>239</v>
      </c>
      <c r="C44" s="793" t="s">
        <v>240</v>
      </c>
      <c r="D44" s="793" t="s">
        <v>1703</v>
      </c>
      <c r="E44" s="1288"/>
      <c r="F44" s="1288"/>
      <c r="G44" s="1288"/>
      <c r="H44" s="1288"/>
      <c r="I44" s="1289" t="str">
        <f>S43&amp;".1"</f>
        <v>...1</v>
      </c>
      <c r="J44" s="793"/>
      <c r="K44" s="793"/>
      <c r="L44" s="794"/>
      <c r="P44" s="1211">
        <v>1</v>
      </c>
      <c r="Q44" s="119"/>
      <c r="R44" s="214"/>
      <c r="S44" s="725" t="str">
        <f>$I44</f>
        <v>...1</v>
      </c>
      <c r="T44" s="163" t="s">
        <v>1687</v>
      </c>
      <c r="U44" s="170"/>
      <c r="V44" s="1387"/>
      <c r="W44" s="1388"/>
      <c r="X44" s="1388"/>
      <c r="Y44" s="1388"/>
      <c r="Z44" s="1388"/>
      <c r="AA44" s="1388"/>
      <c r="AB44" s="1389"/>
      <c r="AC44" s="1390"/>
      <c r="AD44" s="1391"/>
      <c r="AE44" s="1391"/>
      <c r="AF44" s="1391"/>
      <c r="AG44" s="1391"/>
      <c r="AH44" s="1391"/>
      <c r="AI44" s="1391"/>
      <c r="AJ44" s="1392"/>
      <c r="AK44" s="753" t="s">
        <v>1688</v>
      </c>
      <c r="AM44" s="66"/>
      <c r="AN44" s="66" t="str">
        <f t="shared" si="1"/>
        <v>Наименование признака дифференциации</v>
      </c>
      <c r="AO44" s="66"/>
      <c r="AP44" s="66"/>
    </row>
    <row r="45" spans="1:42" ht="23.25" customHeight="1">
      <c r="A45" s="793" t="s">
        <v>238</v>
      </c>
      <c r="B45" s="793" t="s">
        <v>239</v>
      </c>
      <c r="C45" s="793" t="s">
        <v>240</v>
      </c>
      <c r="D45" s="793" t="s">
        <v>1703</v>
      </c>
      <c r="E45" s="1288"/>
      <c r="F45" s="1288"/>
      <c r="G45" s="1288"/>
      <c r="H45" s="1288"/>
      <c r="I45" s="1290"/>
      <c r="J45" s="1289" t="str">
        <f>I44&amp;".1"</f>
        <v>...1.1</v>
      </c>
      <c r="K45" s="793"/>
      <c r="L45" s="794" t="s">
        <v>480</v>
      </c>
      <c r="P45" s="1211"/>
      <c r="Q45" s="1211">
        <v>1</v>
      </c>
      <c r="R45" s="215"/>
      <c r="S45" s="725" t="str">
        <f>$J45</f>
        <v>...1.1</v>
      </c>
      <c r="T45" s="164" t="s">
        <v>481</v>
      </c>
      <c r="U45" s="170"/>
      <c r="V45" s="1275"/>
      <c r="W45" s="1276"/>
      <c r="X45" s="1276"/>
      <c r="Y45" s="1276"/>
      <c r="Z45" s="1276"/>
      <c r="AA45" s="1276"/>
      <c r="AB45" s="1277"/>
      <c r="AC45" s="1275"/>
      <c r="AD45" s="1276"/>
      <c r="AE45" s="1276"/>
      <c r="AF45" s="1276"/>
      <c r="AG45" s="1276"/>
      <c r="AH45" s="1276"/>
      <c r="AI45" s="1276"/>
      <c r="AJ45" s="1277"/>
      <c r="AK45" s="778" t="s">
        <v>1689</v>
      </c>
      <c r="AM45" s="66"/>
      <c r="AN45" s="66" t="str">
        <f t="shared" si="1"/>
        <v>Группа потребителей</v>
      </c>
      <c r="AO45" s="66"/>
      <c r="AP45" s="66"/>
    </row>
    <row r="46" spans="1:42" ht="23.25" customHeight="1">
      <c r="A46" s="793" t="s">
        <v>238</v>
      </c>
      <c r="B46" s="793" t="s">
        <v>239</v>
      </c>
      <c r="C46" s="793" t="s">
        <v>240</v>
      </c>
      <c r="D46" s="793" t="s">
        <v>1703</v>
      </c>
      <c r="E46" s="1288"/>
      <c r="F46" s="1288"/>
      <c r="G46" s="1288"/>
      <c r="H46" s="1288"/>
      <c r="I46" s="1290"/>
      <c r="J46" s="1290"/>
      <c r="K46" s="1289" t="str">
        <f>J45&amp;".1"</f>
        <v>...1.1.1</v>
      </c>
      <c r="L46" s="794"/>
      <c r="P46" s="1211"/>
      <c r="Q46" s="1211"/>
      <c r="R46" s="215">
        <v>1</v>
      </c>
      <c r="S46" s="725" t="str">
        <f>$K46</f>
        <v>...1.1.1</v>
      </c>
      <c r="T46" s="836"/>
      <c r="U46" s="170"/>
      <c r="V46" s="317"/>
      <c r="W46" s="317"/>
      <c r="X46" s="752"/>
      <c r="Y46" s="1291"/>
      <c r="Z46" s="1092" t="s">
        <v>59</v>
      </c>
      <c r="AA46" s="1291"/>
      <c r="AB46" s="1092" t="s">
        <v>59</v>
      </c>
      <c r="AC46" s="317"/>
      <c r="AD46" s="317"/>
      <c r="AE46" s="752"/>
      <c r="AF46" s="1291"/>
      <c r="AG46" s="1092" t="s">
        <v>59</v>
      </c>
      <c r="AH46" s="1293"/>
      <c r="AI46" s="1092" t="s">
        <v>59</v>
      </c>
      <c r="AJ46" s="837"/>
      <c r="AK46"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3" t="s">
        <v>238</v>
      </c>
      <c r="B47" s="793" t="s">
        <v>239</v>
      </c>
      <c r="C47" s="793" t="s">
        <v>240</v>
      </c>
      <c r="D47" s="793" t="s">
        <v>1703</v>
      </c>
      <c r="E47" s="1288"/>
      <c r="F47" s="1288"/>
      <c r="G47" s="1288"/>
      <c r="H47" s="1288"/>
      <c r="I47" s="1290"/>
      <c r="J47" s="1290"/>
      <c r="K47" s="1289"/>
      <c r="L47" s="794"/>
      <c r="P47" s="1211"/>
      <c r="Q47" s="1211"/>
      <c r="R47" s="215"/>
      <c r="S47" s="62"/>
      <c r="T47" s="170"/>
      <c r="U47" s="170"/>
      <c r="V47" s="196"/>
      <c r="W47" s="196"/>
      <c r="X47" s="198" t="str">
        <f>Y46&amp;"-"&amp;AA46</f>
        <v>-</v>
      </c>
      <c r="Y47" s="1292"/>
      <c r="Z47" s="1092"/>
      <c r="AA47" s="1292"/>
      <c r="AB47" s="1092"/>
      <c r="AC47" s="196"/>
      <c r="AD47" s="196"/>
      <c r="AE47" s="198" t="str">
        <f>AF46&amp;"-"&amp;AH46</f>
        <v>-</v>
      </c>
      <c r="AF47" s="1292"/>
      <c r="AG47" s="1092"/>
      <c r="AH47" s="1294"/>
      <c r="AI47" s="1092"/>
      <c r="AJ47" s="396"/>
      <c r="AK47" s="1393"/>
      <c r="AM47" s="66"/>
      <c r="AN47" s="66" t="str">
        <f t="shared" si="1"/>
        <v/>
      </c>
      <c r="AO47" s="66"/>
      <c r="AP47" s="66"/>
    </row>
    <row r="48" spans="1:42" ht="21" customHeight="1">
      <c r="A48" s="793" t="s">
        <v>238</v>
      </c>
      <c r="B48" s="793" t="s">
        <v>239</v>
      </c>
      <c r="C48" s="793" t="s">
        <v>240</v>
      </c>
      <c r="D48" s="793" t="s">
        <v>1703</v>
      </c>
      <c r="E48" s="1288"/>
      <c r="F48" s="1288"/>
      <c r="G48" s="1288"/>
      <c r="H48" s="1288"/>
      <c r="I48" s="1290"/>
      <c r="J48" s="1289"/>
      <c r="K48" s="793"/>
      <c r="L48" s="794"/>
      <c r="P48" s="1211"/>
      <c r="Q48" s="1211"/>
      <c r="R48" s="214"/>
      <c r="S48" s="767"/>
      <c r="T48" s="165" t="s">
        <v>1690</v>
      </c>
      <c r="U48" s="221"/>
      <c r="V48" s="221"/>
      <c r="W48" s="221"/>
      <c r="X48" s="221"/>
      <c r="Y48" s="221"/>
      <c r="Z48" s="221"/>
      <c r="AA48" s="221"/>
      <c r="AB48" s="221"/>
      <c r="AC48" s="221"/>
      <c r="AD48" s="221"/>
      <c r="AE48" s="221"/>
      <c r="AF48" s="221"/>
      <c r="AG48" s="221"/>
      <c r="AH48" s="221"/>
      <c r="AI48" s="221"/>
      <c r="AJ48" s="221"/>
      <c r="AK48" s="753" t="s">
        <v>1691</v>
      </c>
      <c r="AM48" s="66"/>
      <c r="AN48" s="66" t="str">
        <f t="shared" si="1"/>
        <v>Добавить значение признака дифференциации</v>
      </c>
      <c r="AO48" s="66"/>
      <c r="AP48" s="66"/>
    </row>
    <row r="49" spans="1:42" ht="21" customHeight="1">
      <c r="A49" s="793" t="s">
        <v>238</v>
      </c>
      <c r="B49" s="793" t="s">
        <v>239</v>
      </c>
      <c r="C49" s="793" t="s">
        <v>240</v>
      </c>
      <c r="D49" s="793" t="s">
        <v>1703</v>
      </c>
      <c r="E49" s="1288"/>
      <c r="F49" s="1288"/>
      <c r="G49" s="1288"/>
      <c r="H49" s="1288"/>
      <c r="I49" s="1289"/>
      <c r="J49" s="793"/>
      <c r="K49" s="793"/>
      <c r="L49" s="794"/>
      <c r="P49" s="1211"/>
      <c r="Q49" s="119"/>
      <c r="R49" s="214"/>
      <c r="S49" s="767"/>
      <c r="T49" s="219" t="s">
        <v>486</v>
      </c>
      <c r="U49" s="221"/>
      <c r="V49" s="221"/>
      <c r="W49" s="221"/>
      <c r="X49" s="221"/>
      <c r="Y49" s="221"/>
      <c r="Z49" s="221"/>
      <c r="AA49" s="221"/>
      <c r="AB49" s="197"/>
      <c r="AC49" s="221"/>
      <c r="AD49" s="221"/>
      <c r="AE49" s="221"/>
      <c r="AF49" s="221"/>
      <c r="AG49" s="221"/>
      <c r="AH49" s="221"/>
      <c r="AI49" s="197"/>
      <c r="AJ49" s="221"/>
      <c r="AK49" s="838"/>
      <c r="AM49" s="66"/>
      <c r="AN49" s="66" t="str">
        <f t="shared" si="1"/>
        <v>Добавить группу потребителей</v>
      </c>
      <c r="AO49" s="66"/>
      <c r="AP49" s="66"/>
    </row>
    <row r="50" spans="1:42" ht="21" customHeight="1">
      <c r="A50" s="793" t="s">
        <v>238</v>
      </c>
      <c r="B50" s="793" t="s">
        <v>239</v>
      </c>
      <c r="C50" s="793" t="s">
        <v>240</v>
      </c>
      <c r="D50" s="793" t="s">
        <v>1703</v>
      </c>
      <c r="E50" s="1288"/>
      <c r="F50" s="1288"/>
      <c r="G50" s="1288"/>
      <c r="H50" s="1287"/>
      <c r="I50" s="793"/>
      <c r="J50" s="793"/>
      <c r="K50" s="793"/>
      <c r="L50" s="794"/>
      <c r="M50" s="433"/>
      <c r="N50" s="433"/>
      <c r="O50" s="60"/>
      <c r="P50" s="2"/>
      <c r="Q50" s="224"/>
      <c r="R50" s="213"/>
      <c r="S50" s="767"/>
      <c r="T50" s="104" t="s">
        <v>1692</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238</v>
      </c>
      <c r="B51" s="142" t="s">
        <v>239</v>
      </c>
      <c r="C51" s="142"/>
      <c r="D51" s="142"/>
      <c r="E51" s="1288"/>
      <c r="F51" s="1287"/>
      <c r="G51" s="142"/>
      <c r="H51" s="142"/>
      <c r="I51" s="142"/>
      <c r="J51" s="142"/>
      <c r="K51" s="142"/>
      <c r="L51" s="355"/>
      <c r="M51" s="784"/>
      <c r="N51" s="784"/>
      <c r="P51" s="101"/>
      <c r="Q51" s="780"/>
      <c r="R51" s="101"/>
      <c r="S51" s="785"/>
      <c r="T51" s="787" t="s">
        <v>445</v>
      </c>
      <c r="U51" s="323"/>
      <c r="V51" s="323"/>
      <c r="W51" s="323"/>
      <c r="X51" s="323"/>
      <c r="Y51" s="323"/>
      <c r="Z51" s="323"/>
      <c r="AA51" s="323"/>
      <c r="AB51" s="323"/>
      <c r="AC51" s="323"/>
      <c r="AD51" s="323"/>
      <c r="AE51" s="323"/>
      <c r="AF51" s="323"/>
      <c r="AG51" s="323"/>
      <c r="AH51" s="323"/>
      <c r="AI51" s="323"/>
      <c r="AJ51" s="323"/>
      <c r="AK51" s="323"/>
      <c r="AM51" s="66"/>
      <c r="AN51" s="66" t="str">
        <f t="shared" si="1"/>
        <v>Добавить централизованную систему для дифференциации</v>
      </c>
      <c r="AO51" s="66"/>
      <c r="AP51" s="66"/>
    </row>
    <row r="52" spans="1:42" s="65" customFormat="1" ht="0" hidden="1" customHeight="1">
      <c r="A52" s="142" t="s">
        <v>238</v>
      </c>
      <c r="B52" s="142"/>
      <c r="C52" s="142"/>
      <c r="D52" s="142"/>
      <c r="E52" s="1287"/>
      <c r="F52" s="142"/>
      <c r="G52" s="142"/>
      <c r="H52" s="142"/>
      <c r="I52" s="142"/>
      <c r="J52" s="142"/>
      <c r="K52" s="142"/>
      <c r="L52" s="355"/>
      <c r="M52" s="784"/>
      <c r="N52" s="784"/>
      <c r="P52" s="101"/>
      <c r="Q52" s="780"/>
      <c r="R52" s="101"/>
      <c r="S52" s="785"/>
      <c r="T52" s="787" t="s">
        <v>446</v>
      </c>
      <c r="U52" s="323"/>
      <c r="V52" s="323"/>
      <c r="W52" s="323"/>
      <c r="X52" s="323"/>
      <c r="Y52" s="323"/>
      <c r="Z52" s="323"/>
      <c r="AA52" s="323"/>
      <c r="AB52" s="323"/>
      <c r="AC52" s="323"/>
      <c r="AD52" s="323"/>
      <c r="AE52" s="323"/>
      <c r="AF52" s="323"/>
      <c r="AG52" s="323"/>
      <c r="AH52" s="323"/>
      <c r="AI52" s="323"/>
      <c r="AJ52" s="323"/>
      <c r="AK52" s="323"/>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4"/>
      <c r="N53" s="784"/>
      <c r="P53" s="101"/>
      <c r="Q53" s="780"/>
      <c r="R53" s="101"/>
      <c r="S53" s="785"/>
      <c r="T53" s="787" t="s">
        <v>447</v>
      </c>
      <c r="U53" s="323"/>
      <c r="V53" s="323"/>
      <c r="W53" s="323"/>
      <c r="X53" s="323"/>
      <c r="Y53" s="323"/>
      <c r="Z53" s="323"/>
      <c r="AA53" s="323"/>
      <c r="AB53" s="323"/>
      <c r="AC53" s="323"/>
      <c r="AD53" s="323"/>
      <c r="AE53" s="323"/>
      <c r="AF53" s="323"/>
      <c r="AG53" s="323"/>
      <c r="AH53" s="323"/>
      <c r="AI53" s="323"/>
      <c r="AJ53" s="323"/>
      <c r="AK53" s="323"/>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519</v>
      </c>
      <c r="T55" s="1286" t="s">
        <v>1700</v>
      </c>
      <c r="U55" s="1286"/>
      <c r="V55" s="1286"/>
      <c r="W55" s="1286"/>
      <c r="X55" s="1286"/>
      <c r="Y55" s="1286"/>
      <c r="Z55" s="1286"/>
      <c r="AA55" s="1286"/>
      <c r="AB55" s="1286"/>
      <c r="AC55" s="1286"/>
      <c r="AD55" s="1286"/>
      <c r="AE55" s="1286"/>
      <c r="AF55" s="1286"/>
      <c r="AG55" s="1286"/>
      <c r="AH55" s="1286"/>
      <c r="AI55" s="1286"/>
      <c r="AJ55" s="1286"/>
      <c r="AK55" s="1286"/>
    </row>
    <row r="56" spans="1:42" ht="14.25" hidden="1" customHeight="1">
      <c r="O56" s="60"/>
    </row>
    <row r="57" spans="1:42" ht="14.25" hidden="1" customHeight="1">
      <c r="O57" s="60"/>
      <c r="S57" s="204" t="s">
        <v>519</v>
      </c>
      <c r="T57" s="1286" t="s">
        <v>1701</v>
      </c>
      <c r="U57" s="1286"/>
      <c r="V57" s="1286"/>
      <c r="W57" s="1286"/>
      <c r="X57" s="1286"/>
      <c r="Y57" s="1286"/>
      <c r="Z57" s="1286"/>
      <c r="AA57" s="1286"/>
      <c r="AB57" s="1286"/>
      <c r="AC57" s="1286"/>
      <c r="AD57" s="1286"/>
      <c r="AE57" s="1286"/>
      <c r="AF57" s="1286"/>
      <c r="AG57" s="1286"/>
      <c r="AH57" s="1286"/>
      <c r="AI57" s="1286"/>
      <c r="AJ57" s="1286"/>
      <c r="AK57" s="128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2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2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2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2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EEBF5-40EA-8F35-125E-647D1844E58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3"/>
      <c r="B2" s="793"/>
      <c r="C2" s="793"/>
      <c r="D2" s="793"/>
      <c r="E2" s="1287">
        <v>1</v>
      </c>
      <c r="F2" s="793"/>
      <c r="G2" s="793"/>
      <c r="H2" s="793"/>
      <c r="I2" s="793"/>
      <c r="J2" s="793"/>
      <c r="K2" s="793"/>
      <c r="L2" s="794"/>
      <c r="M2" s="433"/>
      <c r="N2" s="433"/>
      <c r="O2" s="433"/>
      <c r="Q2" s="2"/>
      <c r="R2" s="213"/>
      <c r="S2" s="725" t="e">
        <f>INDEX(PT_DIFFERENTIATION_NUM_NTAR,MATCH(A2,PT_DIFFERENTIATION_NTAR_ID,0))</f>
        <v>#N/A</v>
      </c>
      <c r="T2" s="64" t="s">
        <v>139</v>
      </c>
      <c r="U2" s="170"/>
      <c r="V2" s="1281"/>
      <c r="W2" s="1282"/>
      <c r="X2" s="1282"/>
      <c r="Y2" s="1282"/>
      <c r="Z2" s="1282"/>
      <c r="AA2" s="1282"/>
      <c r="AB2" s="1283"/>
      <c r="AC2" s="1281" t="e">
        <f>INDEX(PT_DIFFERENTIATION_NTAR,MATCH(A2,PT_DIFFERENTIATION_NTAR_ID,0))</f>
        <v>#N/A</v>
      </c>
      <c r="AD2" s="1282"/>
      <c r="AE2" s="1282"/>
      <c r="AF2" s="1282"/>
      <c r="AG2" s="1282"/>
      <c r="AH2" s="1282"/>
      <c r="AI2" s="1282"/>
      <c r="AJ2" s="1283"/>
      <c r="AK2" s="7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3"/>
      <c r="B3" s="793"/>
      <c r="C3" s="793"/>
      <c r="D3" s="793"/>
      <c r="E3" s="1288"/>
      <c r="F3" s="1287">
        <v>1</v>
      </c>
      <c r="G3" s="793"/>
      <c r="H3" s="793"/>
      <c r="I3" s="793"/>
      <c r="J3" s="793"/>
      <c r="K3" s="793"/>
      <c r="L3" s="794"/>
      <c r="M3" s="433"/>
      <c r="N3" s="433"/>
      <c r="O3" s="433"/>
      <c r="P3" s="56"/>
      <c r="Q3" s="210"/>
      <c r="R3" s="211"/>
      <c r="S3" s="725" t="e">
        <f>INDEX(PT_DIFFERENTIATION_NUM_TER,MATCH(B3,PT_DIFFERENTIATION_TER_ID,0))</f>
        <v>#N/A</v>
      </c>
      <c r="T3" s="178" t="s">
        <v>471</v>
      </c>
      <c r="U3" s="170"/>
      <c r="V3" s="1281"/>
      <c r="W3" s="1282"/>
      <c r="X3" s="1282"/>
      <c r="Y3" s="1282"/>
      <c r="Z3" s="1282"/>
      <c r="AA3" s="1282"/>
      <c r="AB3" s="1283"/>
      <c r="AC3" s="1281" t="e">
        <f>INDEX(PT_DIFFERENTIATION_TER,MATCH(B3,PT_DIFFERENTIATION_TER_ID,0))</f>
        <v>#N/A</v>
      </c>
      <c r="AD3" s="1282"/>
      <c r="AE3" s="1282"/>
      <c r="AF3" s="1282"/>
      <c r="AG3" s="1282"/>
      <c r="AH3" s="1282"/>
      <c r="AI3" s="1282"/>
      <c r="AJ3" s="1283"/>
      <c r="AK3" s="753" t="s">
        <v>472</v>
      </c>
      <c r="AM3" s="66"/>
      <c r="AN3" s="66" t="str">
        <f t="shared" si="0"/>
        <v>Территория действия тарифа</v>
      </c>
      <c r="AO3" s="66"/>
      <c r="AP3" s="66"/>
    </row>
    <row r="4" spans="1:42" ht="23.25" hidden="1" customHeight="1">
      <c r="A4" s="793"/>
      <c r="B4" s="793"/>
      <c r="C4" s="793"/>
      <c r="D4" s="793"/>
      <c r="E4" s="1288"/>
      <c r="F4" s="1288"/>
      <c r="G4" s="1287">
        <v>1</v>
      </c>
      <c r="H4" s="793"/>
      <c r="I4" s="793"/>
      <c r="J4" s="793"/>
      <c r="K4" s="793"/>
      <c r="L4" s="794"/>
      <c r="M4" s="433"/>
      <c r="N4" s="433"/>
      <c r="O4" s="433"/>
      <c r="P4" s="212"/>
      <c r="Q4" s="210"/>
      <c r="R4" s="211"/>
      <c r="S4" s="725" t="e">
        <f>INDEX(PT_DIFFERENTIATION_NUM_CS,MATCH(C4,PT_DIFFERENTIATION_CS_ID,0))</f>
        <v>#N/A</v>
      </c>
      <c r="T4" s="179" t="s">
        <v>1685</v>
      </c>
      <c r="U4" s="170"/>
      <c r="V4" s="1281"/>
      <c r="W4" s="1282"/>
      <c r="X4" s="1282"/>
      <c r="Y4" s="1282"/>
      <c r="Z4" s="1282"/>
      <c r="AA4" s="1282"/>
      <c r="AB4" s="1283"/>
      <c r="AC4" s="1281" t="e">
        <f>INDEX(PT_DIFFERENTIATION_CS,MATCH(C4,PT_DIFFERENTIATION_CS_ID,0))</f>
        <v>#N/A</v>
      </c>
      <c r="AD4" s="1282"/>
      <c r="AE4" s="1282"/>
      <c r="AF4" s="1282"/>
      <c r="AG4" s="1282"/>
      <c r="AH4" s="1282"/>
      <c r="AI4" s="1282"/>
      <c r="AJ4" s="1283"/>
      <c r="AK4" s="753" t="s">
        <v>1686</v>
      </c>
      <c r="AM4" s="66"/>
      <c r="AN4" s="66" t="str">
        <f t="shared" si="0"/>
        <v>Наименование централизованной системы холодного водоснабжения</v>
      </c>
      <c r="AO4" s="66"/>
      <c r="AP4" s="66"/>
    </row>
    <row r="5" spans="1:42" ht="23.25" hidden="1" customHeight="1">
      <c r="A5" s="793"/>
      <c r="B5" s="793"/>
      <c r="C5" s="793"/>
      <c r="D5" s="793"/>
      <c r="E5" s="1288"/>
      <c r="F5" s="1288"/>
      <c r="G5" s="1288"/>
      <c r="H5" s="1288"/>
      <c r="I5" s="1289" t="e">
        <f>S4&amp;".1"</f>
        <v>#N/A</v>
      </c>
      <c r="J5" s="793"/>
      <c r="K5" s="793"/>
      <c r="L5" s="794"/>
      <c r="P5" s="1211">
        <v>1</v>
      </c>
      <c r="Q5" s="119"/>
      <c r="R5" s="214"/>
      <c r="S5" s="725" t="e">
        <f>$I5</f>
        <v>#N/A</v>
      </c>
      <c r="T5" s="163" t="s">
        <v>1687</v>
      </c>
      <c r="U5" s="170"/>
      <c r="V5" s="1387"/>
      <c r="W5" s="1388"/>
      <c r="X5" s="1388"/>
      <c r="Y5" s="1388"/>
      <c r="Z5" s="1388"/>
      <c r="AA5" s="1388"/>
      <c r="AB5" s="1389"/>
      <c r="AC5" s="1390"/>
      <c r="AD5" s="1391"/>
      <c r="AE5" s="1391"/>
      <c r="AF5" s="1391"/>
      <c r="AG5" s="1391"/>
      <c r="AH5" s="1391"/>
      <c r="AI5" s="1391"/>
      <c r="AJ5" s="1392"/>
      <c r="AK5" s="753" t="s">
        <v>1688</v>
      </c>
      <c r="AM5" s="66"/>
      <c r="AN5" s="66" t="str">
        <f t="shared" si="0"/>
        <v>Наименование признака дифференциации</v>
      </c>
      <c r="AO5" s="66"/>
      <c r="AP5" s="66"/>
    </row>
    <row r="6" spans="1:42" ht="23.25" hidden="1" customHeight="1">
      <c r="A6" s="793"/>
      <c r="B6" s="793"/>
      <c r="C6" s="793"/>
      <c r="D6" s="793"/>
      <c r="E6" s="1288"/>
      <c r="F6" s="1288"/>
      <c r="G6" s="1288"/>
      <c r="H6" s="1288"/>
      <c r="I6" s="1290"/>
      <c r="J6" s="1289" t="e">
        <f>I5&amp;".1"</f>
        <v>#N/A</v>
      </c>
      <c r="K6" s="793"/>
      <c r="L6" s="794" t="s">
        <v>480</v>
      </c>
      <c r="P6" s="1211"/>
      <c r="Q6" s="1211">
        <v>1</v>
      </c>
      <c r="R6" s="215"/>
      <c r="S6" s="725" t="e">
        <f>$J6</f>
        <v>#N/A</v>
      </c>
      <c r="T6" s="164" t="s">
        <v>481</v>
      </c>
      <c r="U6" s="170"/>
      <c r="V6" s="1275"/>
      <c r="W6" s="1276"/>
      <c r="X6" s="1276"/>
      <c r="Y6" s="1276"/>
      <c r="Z6" s="1276"/>
      <c r="AA6" s="1276"/>
      <c r="AB6" s="1277"/>
      <c r="AC6" s="1275"/>
      <c r="AD6" s="1276"/>
      <c r="AE6" s="1276"/>
      <c r="AF6" s="1276"/>
      <c r="AG6" s="1276"/>
      <c r="AH6" s="1276"/>
      <c r="AI6" s="1276"/>
      <c r="AJ6" s="1277"/>
      <c r="AK6" s="778" t="s">
        <v>1689</v>
      </c>
      <c r="AM6" s="66"/>
      <c r="AN6" s="66" t="str">
        <f t="shared" si="0"/>
        <v>Группа потребителей</v>
      </c>
      <c r="AO6" s="66"/>
      <c r="AP6" s="66"/>
    </row>
    <row r="7" spans="1:42" ht="23.25" hidden="1" customHeight="1">
      <c r="A7" s="793"/>
      <c r="B7" s="793"/>
      <c r="C7" s="793"/>
      <c r="D7" s="793"/>
      <c r="E7" s="1288"/>
      <c r="F7" s="1288"/>
      <c r="G7" s="1288"/>
      <c r="H7" s="1288"/>
      <c r="I7" s="1290"/>
      <c r="J7" s="1290"/>
      <c r="K7" s="1289" t="e">
        <f>J6&amp;".1"</f>
        <v>#N/A</v>
      </c>
      <c r="L7" s="794"/>
      <c r="P7" s="1211"/>
      <c r="Q7" s="1211"/>
      <c r="R7" s="215">
        <v>1</v>
      </c>
      <c r="S7" s="725" t="e">
        <f>$K7</f>
        <v>#N/A</v>
      </c>
      <c r="T7" s="836"/>
      <c r="U7" s="170"/>
      <c r="V7" s="317"/>
      <c r="W7" s="317"/>
      <c r="X7" s="752"/>
      <c r="Y7" s="1291"/>
      <c r="Z7" s="1092" t="s">
        <v>59</v>
      </c>
      <c r="AA7" s="1291"/>
      <c r="AB7" s="1092" t="s">
        <v>59</v>
      </c>
      <c r="AC7" s="317"/>
      <c r="AD7" s="317"/>
      <c r="AE7" s="752"/>
      <c r="AF7" s="1291"/>
      <c r="AG7" s="1092" t="s">
        <v>59</v>
      </c>
      <c r="AH7" s="1293"/>
      <c r="AI7" s="1092" t="s">
        <v>59</v>
      </c>
      <c r="AJ7" s="837"/>
      <c r="AK7"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3"/>
      <c r="B8" s="793"/>
      <c r="C8" s="793"/>
      <c r="D8" s="793"/>
      <c r="E8" s="1288"/>
      <c r="F8" s="1288"/>
      <c r="G8" s="1288"/>
      <c r="H8" s="1288"/>
      <c r="I8" s="1290"/>
      <c r="J8" s="1290"/>
      <c r="K8" s="1289"/>
      <c r="L8" s="794"/>
      <c r="P8" s="1211"/>
      <c r="Q8" s="1211"/>
      <c r="R8" s="215"/>
      <c r="S8" s="62"/>
      <c r="T8" s="170"/>
      <c r="U8" s="170"/>
      <c r="V8" s="196"/>
      <c r="W8" s="196"/>
      <c r="X8" s="198" t="str">
        <f>Y7&amp;"-"&amp;AA7</f>
        <v>-</v>
      </c>
      <c r="Y8" s="1292"/>
      <c r="Z8" s="1092"/>
      <c r="AA8" s="1292"/>
      <c r="AB8" s="1092"/>
      <c r="AC8" s="196"/>
      <c r="AD8" s="196"/>
      <c r="AE8" s="198" t="str">
        <f>AF7&amp;"-"&amp;AH7</f>
        <v>-</v>
      </c>
      <c r="AF8" s="1292"/>
      <c r="AG8" s="1092"/>
      <c r="AH8" s="1294"/>
      <c r="AI8" s="1092"/>
      <c r="AJ8" s="396"/>
      <c r="AK8" s="1393"/>
      <c r="AM8" s="66"/>
      <c r="AN8" s="66" t="str">
        <f t="shared" si="0"/>
        <v/>
      </c>
      <c r="AO8" s="66"/>
      <c r="AP8" s="66"/>
    </row>
    <row r="9" spans="1:42" ht="21" hidden="1" customHeight="1">
      <c r="A9" s="793"/>
      <c r="B9" s="793"/>
      <c r="C9" s="793"/>
      <c r="D9" s="793"/>
      <c r="E9" s="1288"/>
      <c r="F9" s="1288"/>
      <c r="G9" s="1288"/>
      <c r="H9" s="1288"/>
      <c r="I9" s="1290"/>
      <c r="J9" s="1289"/>
      <c r="K9" s="793"/>
      <c r="L9" s="794"/>
      <c r="P9" s="1211"/>
      <c r="Q9" s="1211"/>
      <c r="R9" s="214"/>
      <c r="S9" s="767"/>
      <c r="T9" s="165" t="s">
        <v>1690</v>
      </c>
      <c r="U9" s="221"/>
      <c r="V9" s="221"/>
      <c r="W9" s="221"/>
      <c r="X9" s="221"/>
      <c r="Y9" s="221"/>
      <c r="Z9" s="221"/>
      <c r="AA9" s="221"/>
      <c r="AB9" s="221"/>
      <c r="AC9" s="221"/>
      <c r="AD9" s="221"/>
      <c r="AE9" s="221"/>
      <c r="AF9" s="221"/>
      <c r="AG9" s="221"/>
      <c r="AH9" s="221"/>
      <c r="AI9" s="221"/>
      <c r="AJ9" s="221"/>
      <c r="AK9" s="753" t="s">
        <v>1691</v>
      </c>
      <c r="AM9" s="66"/>
      <c r="AN9" s="66" t="str">
        <f t="shared" si="0"/>
        <v>Добавить значение признака дифференциации</v>
      </c>
      <c r="AO9" s="66"/>
      <c r="AP9" s="66"/>
    </row>
    <row r="10" spans="1:42" ht="21" hidden="1" customHeight="1">
      <c r="A10" s="793"/>
      <c r="B10" s="793"/>
      <c r="C10" s="793"/>
      <c r="D10" s="793"/>
      <c r="E10" s="1288"/>
      <c r="F10" s="1288"/>
      <c r="G10" s="1288"/>
      <c r="H10" s="1288"/>
      <c r="I10" s="1289"/>
      <c r="J10" s="793"/>
      <c r="K10" s="793"/>
      <c r="L10" s="794"/>
      <c r="P10" s="1211"/>
      <c r="Q10" s="119"/>
      <c r="R10" s="214"/>
      <c r="S10" s="767"/>
      <c r="T10" s="219" t="s">
        <v>486</v>
      </c>
      <c r="U10" s="221"/>
      <c r="V10" s="221"/>
      <c r="W10" s="221"/>
      <c r="X10" s="221"/>
      <c r="Y10" s="221"/>
      <c r="Z10" s="221"/>
      <c r="AA10" s="221"/>
      <c r="AB10" s="197"/>
      <c r="AC10" s="221"/>
      <c r="AD10" s="221"/>
      <c r="AE10" s="221"/>
      <c r="AF10" s="221"/>
      <c r="AG10" s="221"/>
      <c r="AH10" s="221"/>
      <c r="AI10" s="197"/>
      <c r="AJ10" s="221"/>
      <c r="AK10" s="838"/>
      <c r="AM10" s="66"/>
      <c r="AN10" s="66" t="str">
        <f t="shared" si="0"/>
        <v>Добавить группу потребителей</v>
      </c>
      <c r="AO10" s="66"/>
      <c r="AP10" s="66"/>
    </row>
    <row r="11" spans="1:42" ht="21" hidden="1" customHeight="1">
      <c r="A11" s="793"/>
      <c r="B11" s="793"/>
      <c r="C11" s="793"/>
      <c r="D11" s="793"/>
      <c r="E11" s="1288"/>
      <c r="F11" s="1288"/>
      <c r="G11" s="1288"/>
      <c r="H11" s="1287"/>
      <c r="I11" s="793"/>
      <c r="J11" s="793"/>
      <c r="K11" s="793"/>
      <c r="L11" s="794"/>
      <c r="M11" s="433"/>
      <c r="N11" s="433"/>
      <c r="O11" s="60"/>
      <c r="P11" s="2"/>
      <c r="Q11" s="224"/>
      <c r="R11" s="213"/>
      <c r="S11" s="767"/>
      <c r="T11" s="104" t="s">
        <v>1692</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88"/>
      <c r="F12" s="1287"/>
      <c r="G12" s="142"/>
      <c r="H12" s="142"/>
      <c r="I12" s="142"/>
      <c r="J12" s="142"/>
      <c r="K12" s="142"/>
      <c r="L12" s="355"/>
      <c r="M12" s="784"/>
      <c r="N12" s="784"/>
      <c r="P12" s="101"/>
      <c r="Q12" s="780"/>
      <c r="R12" s="101"/>
      <c r="S12" s="785"/>
      <c r="T12" s="787" t="s">
        <v>445</v>
      </c>
      <c r="U12" s="323"/>
      <c r="V12" s="323"/>
      <c r="W12" s="323"/>
      <c r="X12" s="323"/>
      <c r="Y12" s="323"/>
      <c r="Z12" s="323"/>
      <c r="AA12" s="323"/>
      <c r="AB12" s="323"/>
      <c r="AC12" s="323"/>
      <c r="AD12" s="323"/>
      <c r="AE12" s="323"/>
      <c r="AF12" s="323"/>
      <c r="AG12" s="323"/>
      <c r="AH12" s="323"/>
      <c r="AI12" s="323"/>
      <c r="AJ12" s="323"/>
      <c r="AK12" s="323"/>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87"/>
      <c r="F13" s="142"/>
      <c r="G13" s="142"/>
      <c r="H13" s="142"/>
      <c r="I13" s="142"/>
      <c r="J13" s="142"/>
      <c r="K13" s="142"/>
      <c r="L13" s="355"/>
      <c r="M13" s="784"/>
      <c r="N13" s="784"/>
      <c r="P13" s="101"/>
      <c r="Q13" s="780"/>
      <c r="R13" s="101"/>
      <c r="S13" s="785"/>
      <c r="T13" s="787" t="s">
        <v>446</v>
      </c>
      <c r="U13" s="323"/>
      <c r="V13" s="323"/>
      <c r="W13" s="323"/>
      <c r="X13" s="323"/>
      <c r="Y13" s="323"/>
      <c r="Z13" s="323"/>
      <c r="AA13" s="323"/>
      <c r="AB13" s="323"/>
      <c r="AC13" s="323"/>
      <c r="AD13" s="323"/>
      <c r="AE13" s="323"/>
      <c r="AF13" s="323"/>
      <c r="AG13" s="323"/>
      <c r="AH13" s="323"/>
      <c r="AI13" s="323"/>
      <c r="AJ13" s="323"/>
      <c r="AK13" s="323"/>
      <c r="AM13" s="66"/>
      <c r="AN13" s="66" t="str">
        <f t="shared" si="0"/>
        <v>Добавить территорию для дифференциации</v>
      </c>
      <c r="AO13" s="66"/>
      <c r="AP13" s="66"/>
    </row>
    <row r="14" spans="1:42" ht="14.25" hidden="1" customHeight="1"/>
    <row r="15" spans="1:42" ht="14.25" hidden="1" customHeight="1">
      <c r="AC15" s="376"/>
      <c r="AD15" s="376"/>
      <c r="AE15" s="792"/>
      <c r="AF15" s="1285"/>
      <c r="AG15" s="1284" t="s">
        <v>59</v>
      </c>
      <c r="AH15" s="1285"/>
      <c r="AI15" s="1284" t="s">
        <v>59</v>
      </c>
    </row>
    <row r="16" spans="1:42" ht="14.25" hidden="1" customHeight="1">
      <c r="AC16" s="376"/>
      <c r="AD16" s="376"/>
      <c r="AE16" s="198" t="str">
        <f>AF15&amp;"-"&amp;AH15</f>
        <v>-</v>
      </c>
      <c r="AF16" s="1284"/>
      <c r="AG16" s="1284"/>
      <c r="AH16" s="1284"/>
      <c r="AI16" s="1284"/>
    </row>
    <row r="17" spans="1:42" ht="14.25" hidden="1" customHeight="1"/>
    <row r="18" spans="1:42" s="60" customFormat="1" ht="22.5" hidden="1" customHeight="1">
      <c r="L18" s="312"/>
      <c r="M18" s="519"/>
      <c r="N18" s="519"/>
      <c r="O18" s="795" t="s">
        <v>488</v>
      </c>
      <c r="P18" s="519"/>
      <c r="Q18" s="796"/>
      <c r="R18" s="796"/>
      <c r="S18" s="433"/>
      <c r="Y18" s="795"/>
      <c r="AA18" s="795"/>
      <c r="AF18" s="795"/>
      <c r="AH18" s="795"/>
      <c r="AL18" s="65"/>
      <c r="AM18" s="65"/>
      <c r="AN18" s="65"/>
      <c r="AO18" s="65"/>
      <c r="AP18" s="65"/>
    </row>
    <row r="19" spans="1:42" s="60" customFormat="1" ht="14.25" hidden="1" customHeight="1">
      <c r="L19" s="312"/>
      <c r="M19" s="519"/>
      <c r="N19" s="519"/>
      <c r="O19" s="519"/>
      <c r="P19" s="519"/>
      <c r="Q19" s="796"/>
      <c r="R19" s="796"/>
      <c r="S19" s="433"/>
      <c r="AL19" s="65"/>
      <c r="AM19" s="65"/>
      <c r="AN19" s="65"/>
      <c r="AO19" s="65"/>
      <c r="AP19" s="65"/>
    </row>
    <row r="20" spans="1:42" s="60" customFormat="1" ht="12" hidden="1" customHeight="1">
      <c r="L20" s="312"/>
      <c r="M20" s="519"/>
      <c r="N20" s="519"/>
      <c r="O20" s="794" t="s">
        <v>489</v>
      </c>
      <c r="P20" s="519"/>
      <c r="Q20" s="839"/>
      <c r="R20" s="839"/>
      <c r="S20" s="433"/>
      <c r="T20" s="60" t="s">
        <v>490</v>
      </c>
      <c r="Z20" s="79" t="s">
        <v>491</v>
      </c>
      <c r="AB20" s="79" t="s">
        <v>492</v>
      </c>
      <c r="AC20" s="60" t="s">
        <v>490</v>
      </c>
      <c r="AG20" s="79" t="s">
        <v>493</v>
      </c>
      <c r="AI20" s="79" t="s">
        <v>492</v>
      </c>
    </row>
    <row r="21" spans="1:42" ht="14.25" hidden="1" customHeight="1">
      <c r="O21" s="794"/>
    </row>
    <row r="22" spans="1:42" ht="14.25" hidden="1" customHeight="1">
      <c r="O22" s="794"/>
    </row>
    <row r="23" spans="1:42" ht="14.25" customHeight="1">
      <c r="Q23" s="27"/>
      <c r="R23" s="27"/>
      <c r="S23" s="764"/>
      <c r="T23" s="8"/>
      <c r="U23" s="8"/>
    </row>
    <row r="24" spans="1:42" ht="32.25" customHeight="1">
      <c r="Q24" s="27"/>
      <c r="R24" s="27"/>
      <c r="S24" s="131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312"/>
      <c r="U24" s="1312"/>
      <c r="V24" s="1312"/>
      <c r="W24" s="1312"/>
      <c r="X24" s="1312"/>
      <c r="Y24" s="1312"/>
      <c r="Z24" s="1312"/>
      <c r="AA24" s="1312"/>
      <c r="AB24" s="1312"/>
      <c r="AC24" s="1312"/>
      <c r="AD24" s="1312"/>
      <c r="AE24" s="1312"/>
      <c r="AF24" s="1312"/>
      <c r="AG24" s="1312"/>
      <c r="AH24" s="1312"/>
      <c r="AI24" s="57"/>
    </row>
    <row r="25" spans="1:42" ht="14.25" customHeight="1">
      <c r="Q25" s="27"/>
      <c r="R25" s="27"/>
      <c r="S25" s="1178" t="str">
        <f>IF(org=0,"Не определено",org)</f>
        <v>ООО "Концессионная Коммунальная Компания"</v>
      </c>
      <c r="T25" s="1178"/>
      <c r="U25" s="1178"/>
      <c r="V25" s="1178"/>
      <c r="W25" s="1178"/>
      <c r="X25" s="1178"/>
      <c r="Y25" s="1178"/>
      <c r="Z25" s="1178"/>
      <c r="AA25" s="1178"/>
      <c r="AB25" s="1178"/>
      <c r="AC25" s="1178"/>
      <c r="AD25" s="1178"/>
      <c r="AE25" s="1178"/>
      <c r="AF25" s="1178"/>
      <c r="AG25" s="1178"/>
      <c r="AH25" s="1178"/>
      <c r="AI25" s="57"/>
    </row>
    <row r="26" spans="1:42" ht="14.25" hidden="1" customHeight="1">
      <c r="Q26" s="27"/>
      <c r="R26" s="27"/>
      <c r="S26" s="764"/>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4"/>
      <c r="M27" s="79"/>
      <c r="N27" s="79"/>
      <c r="O27" s="79"/>
      <c r="S27" s="1278" t="s">
        <v>40</v>
      </c>
      <c r="T27" s="1278"/>
      <c r="U27" s="797"/>
      <c r="V27" s="1280" t="str">
        <f>IF(TITLE_NAME_OR_PR_CHANGE="",IF(TITLE_NAME_OR_PR="","",TITLE_NAME_OR_PR),TITLE_NAME_OR_PR_CHANGE)</f>
        <v/>
      </c>
      <c r="W27" s="1280"/>
      <c r="X27" s="1280"/>
      <c r="Y27" s="1280"/>
      <c r="Z27" s="1280"/>
      <c r="AA27" s="1280"/>
      <c r="AB27" s="9"/>
      <c r="AC27" s="1280" t="str">
        <f>IF(TITLE_NAME_OR_PR_CHANGE="",IF(TITLE_NAME_OR_PR="","",TITLE_NAME_OR_PR),TITLE_NAME_OR_PR_CHANGE)</f>
        <v/>
      </c>
      <c r="AD27" s="1280"/>
      <c r="AE27" s="1280"/>
      <c r="AF27" s="1280"/>
      <c r="AG27" s="1280"/>
      <c r="AH27" s="1280"/>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4"/>
      <c r="M28" s="79"/>
      <c r="N28" s="79"/>
      <c r="O28" s="79"/>
      <c r="S28" s="1278" t="s">
        <v>494</v>
      </c>
      <c r="T28" s="1278"/>
      <c r="U28" s="797"/>
      <c r="V28" s="1279" t="str">
        <f>IF(TITLE_DATE_CHANGE_PERIOD="",IF(TITLE_DATE_PR="","",TITLE_DATE_PR),TITLE_DATE_CHANGE_PERIOD)</f>
        <v/>
      </c>
      <c r="W28" s="1279"/>
      <c r="X28" s="1279"/>
      <c r="Y28" s="1279"/>
      <c r="Z28" s="1279"/>
      <c r="AA28" s="1279"/>
      <c r="AB28" s="9"/>
      <c r="AC28" s="1279" t="str">
        <f>IF(TITLE_DATE_CHANGE_PERIOD="",IF(TITLE_DATE_PR="","",TITLE_DATE_PR),TITLE_DATE_CHANGE_PERIOD)</f>
        <v/>
      </c>
      <c r="AD28" s="1279"/>
      <c r="AE28" s="1279"/>
      <c r="AF28" s="1279"/>
      <c r="AG28" s="1279"/>
      <c r="AH28" s="1279"/>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4"/>
      <c r="M29" s="79"/>
      <c r="N29" s="79"/>
      <c r="O29" s="79"/>
      <c r="S29" s="1278" t="s">
        <v>495</v>
      </c>
      <c r="T29" s="1278"/>
      <c r="U29" s="797"/>
      <c r="V29" s="1280" t="str">
        <f>IF(TITLE_NUMBER_PR_CHANGE="",IF(TITLE_NUMBER_PR="","",TITLE_NUMBER_PR),TITLE_NUMBER_PR_CHANGE)</f>
        <v/>
      </c>
      <c r="W29" s="1280"/>
      <c r="X29" s="1280"/>
      <c r="Y29" s="1280"/>
      <c r="Z29" s="1280"/>
      <c r="AA29" s="1280"/>
      <c r="AB29" s="9"/>
      <c r="AC29" s="1280" t="str">
        <f>IF(TITLE_NUMBER_PR_CHANGE="",IF(TITLE_NUMBER_PR="","",TITLE_NUMBER_PR),TITLE_NUMBER_PR_CHANGE)</f>
        <v/>
      </c>
      <c r="AD29" s="1280"/>
      <c r="AE29" s="1280"/>
      <c r="AF29" s="1280"/>
      <c r="AG29" s="1280"/>
      <c r="AH29" s="1280"/>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4"/>
      <c r="M30" s="79"/>
      <c r="N30" s="79"/>
      <c r="O30" s="79"/>
      <c r="S30" s="1278" t="s">
        <v>41</v>
      </c>
      <c r="T30" s="1278"/>
      <c r="U30" s="797"/>
      <c r="V30" s="1280" t="str">
        <f>IF(TITLE_IST_PUB_CHANGE="",IF(TITLE_IST_PUB="","",TITLE_IST_PUB),TITLE_IST_PUB_CHANGE)</f>
        <v/>
      </c>
      <c r="W30" s="1280"/>
      <c r="X30" s="1280"/>
      <c r="Y30" s="1280"/>
      <c r="Z30" s="1280"/>
      <c r="AA30" s="1280"/>
      <c r="AB30" s="9"/>
      <c r="AC30" s="1280" t="str">
        <f>IF(TITLE_IST_PUB_CHANGE="",IF(TITLE_IST_PUB="","",TITLE_IST_PUB),TITLE_IST_PUB_CHANGE)</f>
        <v/>
      </c>
      <c r="AD30" s="1280"/>
      <c r="AE30" s="1280"/>
      <c r="AF30" s="1280"/>
      <c r="AG30" s="1280"/>
      <c r="AH30" s="1280"/>
      <c r="AI30" s="9"/>
      <c r="AJ30" s="9"/>
      <c r="AK30" s="162"/>
      <c r="AL30" s="66"/>
      <c r="AM30" s="66"/>
      <c r="AN30" s="66"/>
      <c r="AO30" s="66"/>
      <c r="AP30" s="66"/>
    </row>
    <row r="31" spans="1:42" ht="14.25" hidden="1" customHeight="1">
      <c r="Q31" s="27"/>
      <c r="R31" s="27"/>
      <c r="S31" s="764"/>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4"/>
      <c r="M32" s="79"/>
      <c r="N32" s="79"/>
      <c r="O32" s="79"/>
      <c r="S32" s="1278" t="s">
        <v>496</v>
      </c>
      <c r="T32" s="1278"/>
      <c r="U32" s="797"/>
      <c r="V32" s="1279" t="str">
        <f>IF(TITLE_DATE_CHANGE_PERIOD="",IF(TITLE_DATE_PR="","",TITLE_DATE_PR),TITLE_DATE_CHANGE_PERIOD)</f>
        <v/>
      </c>
      <c r="W32" s="1279"/>
      <c r="X32" s="1279"/>
      <c r="Y32" s="1279"/>
      <c r="Z32" s="1279"/>
      <c r="AA32" s="1279"/>
      <c r="AB32" s="9"/>
      <c r="AC32" s="1279" t="str">
        <f>IF(TITLE_DATE_CHANGE_PERIOD="",IF(TITLE_DATE_PR="","",TITLE_DATE_PR),TITLE_DATE_CHANGE_PERIOD)</f>
        <v/>
      </c>
      <c r="AD32" s="1279"/>
      <c r="AE32" s="1279"/>
      <c r="AF32" s="1279"/>
      <c r="AG32" s="1279"/>
      <c r="AH32" s="1279"/>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4"/>
      <c r="M33" s="79"/>
      <c r="N33" s="79"/>
      <c r="O33" s="79"/>
      <c r="S33" s="1278" t="s">
        <v>497</v>
      </c>
      <c r="T33" s="1278"/>
      <c r="U33" s="797"/>
      <c r="V33" s="1280" t="str">
        <f>IF(TITLE_NUMBER_PR_CHANGE="",IF(TITLE_NUMBER_PR="","",TITLE_NUMBER_PR),TITLE_NUMBER_PR_CHANGE)</f>
        <v/>
      </c>
      <c r="W33" s="1280"/>
      <c r="X33" s="1280"/>
      <c r="Y33" s="1280"/>
      <c r="Z33" s="1280"/>
      <c r="AA33" s="1280"/>
      <c r="AB33" s="9"/>
      <c r="AC33" s="1280" t="str">
        <f>IF(TITLE_NUMBER_PR_CHANGE="",IF(TITLE_NUMBER_PR="","",TITLE_NUMBER_PR),TITLE_NUMBER_PR_CHANGE)</f>
        <v/>
      </c>
      <c r="AD33" s="1280"/>
      <c r="AE33" s="1280"/>
      <c r="AF33" s="1280"/>
      <c r="AG33" s="1280"/>
      <c r="AH33" s="1280"/>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4"/>
      <c r="M34" s="79"/>
      <c r="N34" s="79"/>
      <c r="O34" s="79"/>
      <c r="S34" s="9"/>
      <c r="T34" s="9"/>
      <c r="U34" s="75"/>
      <c r="V34" s="9"/>
      <c r="W34" s="9"/>
      <c r="X34" s="9"/>
      <c r="Y34" s="9"/>
      <c r="Z34" s="9"/>
      <c r="AA34" s="9"/>
      <c r="AB34" s="65" t="s">
        <v>498</v>
      </c>
      <c r="AC34" s="9"/>
      <c r="AD34" s="9"/>
      <c r="AE34" s="9"/>
      <c r="AF34" s="9"/>
      <c r="AG34" s="9"/>
      <c r="AH34" s="9"/>
      <c r="AI34" s="65" t="s">
        <v>498</v>
      </c>
      <c r="AL34" s="66"/>
      <c r="AM34" s="66"/>
      <c r="AN34" s="66"/>
      <c r="AO34" s="66"/>
      <c r="AP34" s="66"/>
    </row>
    <row r="35" spans="1:42" ht="14.25" customHeight="1">
      <c r="Q35" s="27"/>
      <c r="R35" s="27"/>
      <c r="S35" s="764"/>
      <c r="T35" s="8"/>
      <c r="U35" s="736"/>
      <c r="V35" s="1298"/>
      <c r="W35" s="1298"/>
      <c r="X35" s="1298"/>
      <c r="Y35" s="1298"/>
      <c r="Z35" s="1298"/>
      <c r="AA35" s="1298"/>
      <c r="AB35" s="1298"/>
      <c r="AC35" s="1298"/>
      <c r="AD35" s="1298"/>
      <c r="AE35" s="1298"/>
      <c r="AF35" s="1298"/>
      <c r="AG35" s="1298"/>
      <c r="AH35" s="1298"/>
      <c r="AI35" s="1298"/>
    </row>
    <row r="36" spans="1:42" ht="14.25" customHeight="1">
      <c r="Q36" s="27"/>
      <c r="R36" s="27"/>
      <c r="S36" s="1082" t="s">
        <v>302</v>
      </c>
      <c r="T36" s="1082"/>
      <c r="U36" s="1082"/>
      <c r="V36" s="1082"/>
      <c r="W36" s="1082"/>
      <c r="X36" s="1082"/>
      <c r="Y36" s="1082"/>
      <c r="Z36" s="1082"/>
      <c r="AA36" s="1082"/>
      <c r="AB36" s="1082"/>
      <c r="AC36" s="1082"/>
      <c r="AD36" s="1082"/>
      <c r="AE36" s="1082"/>
      <c r="AF36" s="1082"/>
      <c r="AG36" s="1082"/>
      <c r="AH36" s="1082"/>
      <c r="AI36" s="1082"/>
      <c r="AJ36" s="1082"/>
      <c r="AK36" s="1082" t="s">
        <v>303</v>
      </c>
    </row>
    <row r="37" spans="1:42" ht="14.25" customHeight="1">
      <c r="Q37" s="27"/>
      <c r="R37" s="27"/>
      <c r="S37" s="1299" t="s">
        <v>88</v>
      </c>
      <c r="T37" s="1176" t="s">
        <v>499</v>
      </c>
      <c r="U37" s="171"/>
      <c r="V37" s="1300" t="s">
        <v>500</v>
      </c>
      <c r="W37" s="1301"/>
      <c r="X37" s="1301"/>
      <c r="Y37" s="1301"/>
      <c r="Z37" s="1301"/>
      <c r="AA37" s="1302"/>
      <c r="AB37" s="1303" t="s">
        <v>501</v>
      </c>
      <c r="AC37" s="1300" t="s">
        <v>500</v>
      </c>
      <c r="AD37" s="1301"/>
      <c r="AE37" s="1301"/>
      <c r="AF37" s="1301"/>
      <c r="AG37" s="1301"/>
      <c r="AH37" s="1302"/>
      <c r="AI37" s="1303" t="s">
        <v>502</v>
      </c>
      <c r="AJ37" s="1306" t="s">
        <v>503</v>
      </c>
      <c r="AK37" s="1082"/>
    </row>
    <row r="38" spans="1:42" ht="33.75" customHeight="1">
      <c r="Q38" s="27"/>
      <c r="R38" s="27"/>
      <c r="S38" s="1299"/>
      <c r="T38" s="1176"/>
      <c r="U38" s="621"/>
      <c r="V38" s="349" t="s">
        <v>1693</v>
      </c>
      <c r="W38" s="1063" t="s">
        <v>506</v>
      </c>
      <c r="X38" s="1062"/>
      <c r="Y38" s="1063" t="s">
        <v>507</v>
      </c>
      <c r="Z38" s="1068"/>
      <c r="AA38" s="1062"/>
      <c r="AB38" s="1304"/>
      <c r="AC38" s="349" t="s">
        <v>1693</v>
      </c>
      <c r="AD38" s="1063" t="s">
        <v>506</v>
      </c>
      <c r="AE38" s="1062"/>
      <c r="AF38" s="1063" t="s">
        <v>507</v>
      </c>
      <c r="AG38" s="1068"/>
      <c r="AH38" s="1062"/>
      <c r="AI38" s="1304"/>
      <c r="AJ38" s="1307"/>
      <c r="AK38" s="1082"/>
    </row>
    <row r="39" spans="1:42" ht="33.75" customHeight="1">
      <c r="A39" s="79"/>
      <c r="B39" s="79" t="s">
        <v>151</v>
      </c>
      <c r="C39" s="79" t="s">
        <v>152</v>
      </c>
      <c r="D39" s="79" t="s">
        <v>153</v>
      </c>
      <c r="E39" s="794" t="s">
        <v>508</v>
      </c>
      <c r="F39" s="794" t="s">
        <v>509</v>
      </c>
      <c r="G39" s="794" t="s">
        <v>510</v>
      </c>
      <c r="H39" s="794"/>
      <c r="I39" s="794" t="s">
        <v>1694</v>
      </c>
      <c r="J39" s="794" t="s">
        <v>513</v>
      </c>
      <c r="K39" s="794" t="s">
        <v>1695</v>
      </c>
      <c r="L39" s="794" t="s">
        <v>489</v>
      </c>
      <c r="Q39" s="27"/>
      <c r="R39" s="27"/>
      <c r="S39" s="1299"/>
      <c r="T39" s="1176"/>
      <c r="U39" s="172"/>
      <c r="V39" s="349" t="s">
        <v>1696</v>
      </c>
      <c r="W39" s="37" t="s">
        <v>1697</v>
      </c>
      <c r="X39" s="37" t="s">
        <v>1698</v>
      </c>
      <c r="Y39" s="37" t="s">
        <v>517</v>
      </c>
      <c r="Z39" s="1182" t="s">
        <v>518</v>
      </c>
      <c r="AA39" s="1195"/>
      <c r="AB39" s="1305"/>
      <c r="AC39" s="349" t="s">
        <v>1696</v>
      </c>
      <c r="AD39" s="37" t="s">
        <v>1697</v>
      </c>
      <c r="AE39" s="37" t="s">
        <v>1698</v>
      </c>
      <c r="AF39" s="37" t="s">
        <v>517</v>
      </c>
      <c r="AG39" s="1182" t="s">
        <v>518</v>
      </c>
      <c r="AH39" s="1195"/>
      <c r="AI39" s="1305"/>
      <c r="AJ39" s="1308"/>
      <c r="AK39" s="1082"/>
    </row>
    <row r="40" spans="1:42" s="209" customFormat="1" ht="0" hidden="1" customHeight="1">
      <c r="A40" s="79"/>
      <c r="B40" s="79"/>
      <c r="C40" s="79"/>
      <c r="D40" s="79"/>
      <c r="E40" s="79"/>
      <c r="F40" s="79"/>
      <c r="G40" s="79"/>
      <c r="H40" s="79"/>
      <c r="I40" s="79"/>
      <c r="J40" s="79"/>
      <c r="K40" s="79"/>
      <c r="L40" s="794"/>
      <c r="M40" s="519"/>
      <c r="N40" s="519"/>
      <c r="O40" s="519"/>
      <c r="P40" s="738"/>
      <c r="Q40" s="739"/>
      <c r="R40" s="747">
        <v>1</v>
      </c>
      <c r="S40" s="766" t="s">
        <v>119</v>
      </c>
      <c r="T40" s="748" t="s">
        <v>103</v>
      </c>
      <c r="U40" s="737" t="str">
        <f ca="1">OFFSET(U40,0,-1)</f>
        <v>2</v>
      </c>
      <c r="V40" s="749">
        <f ca="1">OFFSET(V40,0,-1)+1</f>
        <v>3</v>
      </c>
      <c r="W40" s="749">
        <f ca="1">OFFSET(W40,0,-1)+1</f>
        <v>4</v>
      </c>
      <c r="X40" s="749">
        <f ca="1">OFFSET(X40,0,-1)+1</f>
        <v>5</v>
      </c>
      <c r="Y40" s="749">
        <f ca="1">OFFSET(Y40,0,-1)+1</f>
        <v>6</v>
      </c>
      <c r="Z40" s="1297">
        <f ca="1">OFFSET(Z40,0,-1)+1</f>
        <v>7</v>
      </c>
      <c r="AA40" s="1297"/>
      <c r="AB40" s="749">
        <f ca="1">OFFSET(AB40,0,-2)+1</f>
        <v>8</v>
      </c>
      <c r="AC40" s="749">
        <f ca="1">OFFSET(AC40,0,-1)+1</f>
        <v>9</v>
      </c>
      <c r="AD40" s="749">
        <f ca="1">OFFSET(AD40,0,-1)+1</f>
        <v>10</v>
      </c>
      <c r="AE40" s="749">
        <f ca="1">OFFSET(AE40,0,-1)+1</f>
        <v>11</v>
      </c>
      <c r="AF40" s="749">
        <f ca="1">OFFSET(AF40,0,-1)+1</f>
        <v>12</v>
      </c>
      <c r="AG40" s="1297">
        <f ca="1">OFFSET(AG40,0,-1)+1</f>
        <v>13</v>
      </c>
      <c r="AH40" s="1297"/>
      <c r="AI40" s="749">
        <f ca="1">OFFSET(AI40,0,-2)+1</f>
        <v>14</v>
      </c>
      <c r="AJ40" s="737">
        <f ca="1">OFFSET(AJ40,0,-1)</f>
        <v>14</v>
      </c>
      <c r="AK40" s="749">
        <f ca="1">OFFSET(AK40,0,-1)+1</f>
        <v>15</v>
      </c>
      <c r="AL40" s="65"/>
      <c r="AM40" s="65"/>
      <c r="AN40" s="65"/>
      <c r="AO40" s="65"/>
      <c r="AP40" s="65"/>
    </row>
    <row r="41" spans="1:42" ht="23.25" customHeight="1">
      <c r="A41" s="793" t="s">
        <v>243</v>
      </c>
      <c r="B41" s="793"/>
      <c r="C41" s="793"/>
      <c r="D41" s="793"/>
      <c r="E41" s="1287">
        <v>1</v>
      </c>
      <c r="F41" s="793"/>
      <c r="G41" s="793"/>
      <c r="H41" s="793"/>
      <c r="I41" s="793"/>
      <c r="J41" s="793"/>
      <c r="K41" s="793"/>
      <c r="L41" s="794"/>
      <c r="M41" s="433"/>
      <c r="N41" s="433"/>
      <c r="O41" s="433"/>
      <c r="Q41" s="2"/>
      <c r="R41" s="213"/>
      <c r="S41" s="725">
        <f>INDEX(PT_DIFFERENTIATION_NUM_NTAR,MATCH(A41,PT_DIFFERENTIATION_NTAR_ID,0))</f>
        <v>0</v>
      </c>
      <c r="T41" s="64" t="s">
        <v>139</v>
      </c>
      <c r="U41" s="170"/>
      <c r="V41" s="1281"/>
      <c r="W41" s="1282"/>
      <c r="X41" s="1282"/>
      <c r="Y41" s="1282"/>
      <c r="Z41" s="1282"/>
      <c r="AA41" s="1282"/>
      <c r="AB41" s="1283"/>
      <c r="AC41" s="1281" t="str">
        <f>INDEX(PT_DIFFERENTIATION_NTAR,MATCH(A41,PT_DIFFERENTIATION_NTAR_ID,0))</f>
        <v/>
      </c>
      <c r="AD41" s="1282"/>
      <c r="AE41" s="1282"/>
      <c r="AF41" s="1282"/>
      <c r="AG41" s="1282"/>
      <c r="AH41" s="1282"/>
      <c r="AI41" s="1282"/>
      <c r="AJ41" s="1283"/>
      <c r="AK41" s="7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3" t="s">
        <v>243</v>
      </c>
      <c r="B42" s="793" t="s">
        <v>244</v>
      </c>
      <c r="C42" s="793"/>
      <c r="D42" s="793"/>
      <c r="E42" s="1288"/>
      <c r="F42" s="1287">
        <v>1</v>
      </c>
      <c r="G42" s="793"/>
      <c r="H42" s="793"/>
      <c r="I42" s="793"/>
      <c r="J42" s="793"/>
      <c r="K42" s="793"/>
      <c r="L42" s="794"/>
      <c r="M42" s="433"/>
      <c r="N42" s="433"/>
      <c r="O42" s="433"/>
      <c r="P42" s="56"/>
      <c r="Q42" s="210"/>
      <c r="R42" s="211"/>
      <c r="S42" s="725" t="str">
        <f>INDEX(PT_DIFFERENTIATION_NUM_TER,MATCH(B42,PT_DIFFERENTIATION_TER_ID,0))</f>
        <v>.</v>
      </c>
      <c r="T42" s="178" t="s">
        <v>471</v>
      </c>
      <c r="U42" s="170"/>
      <c r="V42" s="1281"/>
      <c r="W42" s="1282"/>
      <c r="X42" s="1282"/>
      <c r="Y42" s="1282"/>
      <c r="Z42" s="1282"/>
      <c r="AA42" s="1282"/>
      <c r="AB42" s="1283"/>
      <c r="AC42" s="1281" t="str">
        <f>INDEX(PT_DIFFERENTIATION_TER,MATCH(B42,PT_DIFFERENTIATION_TER_ID,0))</f>
        <v/>
      </c>
      <c r="AD42" s="1282"/>
      <c r="AE42" s="1282"/>
      <c r="AF42" s="1282"/>
      <c r="AG42" s="1282"/>
      <c r="AH42" s="1282"/>
      <c r="AI42" s="1282"/>
      <c r="AJ42" s="1283"/>
      <c r="AK42" s="753" t="s">
        <v>472</v>
      </c>
      <c r="AM42" s="66"/>
      <c r="AN42" s="66" t="str">
        <f t="shared" si="1"/>
        <v>Территория действия тарифа</v>
      </c>
      <c r="AO42" s="66"/>
      <c r="AP42" s="66"/>
    </row>
    <row r="43" spans="1:42" ht="23.25" customHeight="1">
      <c r="A43" s="793" t="s">
        <v>243</v>
      </c>
      <c r="B43" s="793" t="s">
        <v>244</v>
      </c>
      <c r="C43" s="793" t="s">
        <v>245</v>
      </c>
      <c r="D43" s="793"/>
      <c r="E43" s="1288"/>
      <c r="F43" s="1288"/>
      <c r="G43" s="1287">
        <v>1</v>
      </c>
      <c r="H43" s="793"/>
      <c r="I43" s="793"/>
      <c r="J43" s="793"/>
      <c r="K43" s="793"/>
      <c r="L43" s="794"/>
      <c r="M43" s="433"/>
      <c r="N43" s="433"/>
      <c r="O43" s="433"/>
      <c r="P43" s="212"/>
      <c r="Q43" s="210"/>
      <c r="R43" s="211"/>
      <c r="S43" s="725" t="str">
        <f>INDEX(PT_DIFFERENTIATION_NUM_CS,MATCH(C43,PT_DIFFERENTIATION_CS_ID,0))</f>
        <v>..</v>
      </c>
      <c r="T43" s="179" t="s">
        <v>1685</v>
      </c>
      <c r="U43" s="170"/>
      <c r="V43" s="1281"/>
      <c r="W43" s="1282"/>
      <c r="X43" s="1282"/>
      <c r="Y43" s="1282"/>
      <c r="Z43" s="1282"/>
      <c r="AA43" s="1282"/>
      <c r="AB43" s="1283"/>
      <c r="AC43" s="1281" t="str">
        <f>INDEX(PT_DIFFERENTIATION_CS,MATCH(C43,PT_DIFFERENTIATION_CS_ID,0))</f>
        <v/>
      </c>
      <c r="AD43" s="1282"/>
      <c r="AE43" s="1282"/>
      <c r="AF43" s="1282"/>
      <c r="AG43" s="1282"/>
      <c r="AH43" s="1282"/>
      <c r="AI43" s="1282"/>
      <c r="AJ43" s="1283"/>
      <c r="AK43" s="753" t="s">
        <v>1686</v>
      </c>
      <c r="AM43" s="66"/>
      <c r="AN43" s="66" t="str">
        <f t="shared" si="1"/>
        <v>Наименование централизованной системы холодного водоснабжения</v>
      </c>
      <c r="AO43" s="66"/>
      <c r="AP43" s="66"/>
    </row>
    <row r="44" spans="1:42" ht="23.25" customHeight="1">
      <c r="A44" s="793" t="s">
        <v>243</v>
      </c>
      <c r="B44" s="793" t="s">
        <v>244</v>
      </c>
      <c r="C44" s="793" t="s">
        <v>245</v>
      </c>
      <c r="D44" s="793" t="s">
        <v>1704</v>
      </c>
      <c r="E44" s="1288"/>
      <c r="F44" s="1288"/>
      <c r="G44" s="1288"/>
      <c r="H44" s="1288"/>
      <c r="I44" s="1289" t="str">
        <f>S43&amp;".1"</f>
        <v>...1</v>
      </c>
      <c r="J44" s="793"/>
      <c r="K44" s="793"/>
      <c r="L44" s="794"/>
      <c r="P44" s="1211">
        <v>1</v>
      </c>
      <c r="Q44" s="119"/>
      <c r="R44" s="214"/>
      <c r="S44" s="725" t="str">
        <f>$I44</f>
        <v>...1</v>
      </c>
      <c r="T44" s="163" t="s">
        <v>1687</v>
      </c>
      <c r="U44" s="170"/>
      <c r="V44" s="1387"/>
      <c r="W44" s="1388"/>
      <c r="X44" s="1388"/>
      <c r="Y44" s="1388"/>
      <c r="Z44" s="1388"/>
      <c r="AA44" s="1388"/>
      <c r="AB44" s="1389"/>
      <c r="AC44" s="1390"/>
      <c r="AD44" s="1391"/>
      <c r="AE44" s="1391"/>
      <c r="AF44" s="1391"/>
      <c r="AG44" s="1391"/>
      <c r="AH44" s="1391"/>
      <c r="AI44" s="1391"/>
      <c r="AJ44" s="1392"/>
      <c r="AK44" s="753" t="s">
        <v>1688</v>
      </c>
      <c r="AM44" s="66"/>
      <c r="AN44" s="66" t="str">
        <f t="shared" si="1"/>
        <v>Наименование признака дифференциации</v>
      </c>
      <c r="AO44" s="66"/>
      <c r="AP44" s="66"/>
    </row>
    <row r="45" spans="1:42" ht="23.25" customHeight="1">
      <c r="A45" s="793" t="s">
        <v>243</v>
      </c>
      <c r="B45" s="793" t="s">
        <v>244</v>
      </c>
      <c r="C45" s="793" t="s">
        <v>245</v>
      </c>
      <c r="D45" s="793" t="s">
        <v>1704</v>
      </c>
      <c r="E45" s="1288"/>
      <c r="F45" s="1288"/>
      <c r="G45" s="1288"/>
      <c r="H45" s="1288"/>
      <c r="I45" s="1290"/>
      <c r="J45" s="1289" t="str">
        <f>I44&amp;".1"</f>
        <v>...1.1</v>
      </c>
      <c r="K45" s="793"/>
      <c r="L45" s="794" t="s">
        <v>480</v>
      </c>
      <c r="P45" s="1211"/>
      <c r="Q45" s="1211">
        <v>1</v>
      </c>
      <c r="R45" s="215"/>
      <c r="S45" s="725" t="str">
        <f>$J45</f>
        <v>...1.1</v>
      </c>
      <c r="T45" s="164" t="s">
        <v>481</v>
      </c>
      <c r="U45" s="170"/>
      <c r="V45" s="1275"/>
      <c r="W45" s="1276"/>
      <c r="X45" s="1276"/>
      <c r="Y45" s="1276"/>
      <c r="Z45" s="1276"/>
      <c r="AA45" s="1276"/>
      <c r="AB45" s="1277"/>
      <c r="AC45" s="1275"/>
      <c r="AD45" s="1276"/>
      <c r="AE45" s="1276"/>
      <c r="AF45" s="1276"/>
      <c r="AG45" s="1276"/>
      <c r="AH45" s="1276"/>
      <c r="AI45" s="1276"/>
      <c r="AJ45" s="1277"/>
      <c r="AK45" s="778" t="s">
        <v>1689</v>
      </c>
      <c r="AM45" s="66"/>
      <c r="AN45" s="66" t="str">
        <f t="shared" si="1"/>
        <v>Группа потребителей</v>
      </c>
      <c r="AO45" s="66"/>
      <c r="AP45" s="66"/>
    </row>
    <row r="46" spans="1:42" ht="23.25" customHeight="1">
      <c r="A46" s="793" t="s">
        <v>243</v>
      </c>
      <c r="B46" s="793" t="s">
        <v>244</v>
      </c>
      <c r="C46" s="793" t="s">
        <v>245</v>
      </c>
      <c r="D46" s="793" t="s">
        <v>1704</v>
      </c>
      <c r="E46" s="1288"/>
      <c r="F46" s="1288"/>
      <c r="G46" s="1288"/>
      <c r="H46" s="1288"/>
      <c r="I46" s="1290"/>
      <c r="J46" s="1290"/>
      <c r="K46" s="1289" t="str">
        <f>J45&amp;".1"</f>
        <v>...1.1.1</v>
      </c>
      <c r="L46" s="794"/>
      <c r="P46" s="1211"/>
      <c r="Q46" s="1211"/>
      <c r="R46" s="215">
        <v>1</v>
      </c>
      <c r="S46" s="725" t="str">
        <f>$K46</f>
        <v>...1.1.1</v>
      </c>
      <c r="T46" s="836"/>
      <c r="U46" s="170"/>
      <c r="V46" s="317"/>
      <c r="W46" s="317"/>
      <c r="X46" s="752"/>
      <c r="Y46" s="1291"/>
      <c r="Z46" s="1092" t="s">
        <v>59</v>
      </c>
      <c r="AA46" s="1291"/>
      <c r="AB46" s="1092" t="s">
        <v>59</v>
      </c>
      <c r="AC46" s="317"/>
      <c r="AD46" s="317"/>
      <c r="AE46" s="752"/>
      <c r="AF46" s="1291"/>
      <c r="AG46" s="1092" t="s">
        <v>59</v>
      </c>
      <c r="AH46" s="1293"/>
      <c r="AI46" s="1092" t="s">
        <v>59</v>
      </c>
      <c r="AJ46" s="837"/>
      <c r="AK46"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3" t="s">
        <v>243</v>
      </c>
      <c r="B47" s="793" t="s">
        <v>244</v>
      </c>
      <c r="C47" s="793" t="s">
        <v>245</v>
      </c>
      <c r="D47" s="793" t="s">
        <v>1704</v>
      </c>
      <c r="E47" s="1288"/>
      <c r="F47" s="1288"/>
      <c r="G47" s="1288"/>
      <c r="H47" s="1288"/>
      <c r="I47" s="1290"/>
      <c r="J47" s="1290"/>
      <c r="K47" s="1289"/>
      <c r="L47" s="794"/>
      <c r="P47" s="1211"/>
      <c r="Q47" s="1211"/>
      <c r="R47" s="215"/>
      <c r="S47" s="62"/>
      <c r="T47" s="170"/>
      <c r="U47" s="170"/>
      <c r="V47" s="196"/>
      <c r="W47" s="196"/>
      <c r="X47" s="198" t="str">
        <f>Y46&amp;"-"&amp;AA46</f>
        <v>-</v>
      </c>
      <c r="Y47" s="1292"/>
      <c r="Z47" s="1092"/>
      <c r="AA47" s="1292"/>
      <c r="AB47" s="1092"/>
      <c r="AC47" s="196"/>
      <c r="AD47" s="196"/>
      <c r="AE47" s="198" t="str">
        <f>AF46&amp;"-"&amp;AH46</f>
        <v>-</v>
      </c>
      <c r="AF47" s="1292"/>
      <c r="AG47" s="1092"/>
      <c r="AH47" s="1294"/>
      <c r="AI47" s="1092"/>
      <c r="AJ47" s="396"/>
      <c r="AK47" s="1393"/>
      <c r="AM47" s="66"/>
      <c r="AN47" s="66" t="str">
        <f t="shared" si="1"/>
        <v/>
      </c>
      <c r="AO47" s="66"/>
      <c r="AP47" s="66"/>
    </row>
    <row r="48" spans="1:42" ht="21" customHeight="1">
      <c r="A48" s="793" t="s">
        <v>243</v>
      </c>
      <c r="B48" s="793" t="s">
        <v>244</v>
      </c>
      <c r="C48" s="793" t="s">
        <v>245</v>
      </c>
      <c r="D48" s="793" t="s">
        <v>1704</v>
      </c>
      <c r="E48" s="1288"/>
      <c r="F48" s="1288"/>
      <c r="G48" s="1288"/>
      <c r="H48" s="1288"/>
      <c r="I48" s="1290"/>
      <c r="J48" s="1289"/>
      <c r="K48" s="793"/>
      <c r="L48" s="794"/>
      <c r="P48" s="1211"/>
      <c r="Q48" s="1211"/>
      <c r="R48" s="214"/>
      <c r="S48" s="767"/>
      <c r="T48" s="165" t="s">
        <v>1690</v>
      </c>
      <c r="U48" s="221"/>
      <c r="V48" s="221"/>
      <c r="W48" s="221"/>
      <c r="X48" s="221"/>
      <c r="Y48" s="221"/>
      <c r="Z48" s="221"/>
      <c r="AA48" s="221"/>
      <c r="AB48" s="221"/>
      <c r="AC48" s="221"/>
      <c r="AD48" s="221"/>
      <c r="AE48" s="221"/>
      <c r="AF48" s="221"/>
      <c r="AG48" s="221"/>
      <c r="AH48" s="221"/>
      <c r="AI48" s="221"/>
      <c r="AJ48" s="221"/>
      <c r="AK48" s="753" t="s">
        <v>1691</v>
      </c>
      <c r="AM48" s="66"/>
      <c r="AN48" s="66" t="str">
        <f t="shared" si="1"/>
        <v>Добавить значение признака дифференциации</v>
      </c>
      <c r="AO48" s="66"/>
      <c r="AP48" s="66"/>
    </row>
    <row r="49" spans="1:42" ht="21" customHeight="1">
      <c r="A49" s="793" t="s">
        <v>243</v>
      </c>
      <c r="B49" s="793" t="s">
        <v>244</v>
      </c>
      <c r="C49" s="793" t="s">
        <v>245</v>
      </c>
      <c r="D49" s="793" t="s">
        <v>1704</v>
      </c>
      <c r="E49" s="1288"/>
      <c r="F49" s="1288"/>
      <c r="G49" s="1288"/>
      <c r="H49" s="1288"/>
      <c r="I49" s="1289"/>
      <c r="J49" s="793"/>
      <c r="K49" s="793"/>
      <c r="L49" s="794"/>
      <c r="P49" s="1211"/>
      <c r="Q49" s="119"/>
      <c r="R49" s="214"/>
      <c r="S49" s="767"/>
      <c r="T49" s="219" t="s">
        <v>486</v>
      </c>
      <c r="U49" s="221"/>
      <c r="V49" s="221"/>
      <c r="W49" s="221"/>
      <c r="X49" s="221"/>
      <c r="Y49" s="221"/>
      <c r="Z49" s="221"/>
      <c r="AA49" s="221"/>
      <c r="AB49" s="197"/>
      <c r="AC49" s="221"/>
      <c r="AD49" s="221"/>
      <c r="AE49" s="221"/>
      <c r="AF49" s="221"/>
      <c r="AG49" s="221"/>
      <c r="AH49" s="221"/>
      <c r="AI49" s="197"/>
      <c r="AJ49" s="221"/>
      <c r="AK49" s="838"/>
      <c r="AM49" s="66"/>
      <c r="AN49" s="66" t="str">
        <f t="shared" si="1"/>
        <v>Добавить группу потребителей</v>
      </c>
      <c r="AO49" s="66"/>
      <c r="AP49" s="66"/>
    </row>
    <row r="50" spans="1:42" ht="21" customHeight="1">
      <c r="A50" s="793" t="s">
        <v>243</v>
      </c>
      <c r="B50" s="793" t="s">
        <v>244</v>
      </c>
      <c r="C50" s="793" t="s">
        <v>245</v>
      </c>
      <c r="D50" s="793" t="s">
        <v>1704</v>
      </c>
      <c r="E50" s="1288"/>
      <c r="F50" s="1288"/>
      <c r="G50" s="1288"/>
      <c r="H50" s="1287"/>
      <c r="I50" s="793"/>
      <c r="J50" s="793"/>
      <c r="K50" s="793"/>
      <c r="L50" s="794"/>
      <c r="M50" s="433"/>
      <c r="N50" s="433"/>
      <c r="O50" s="60"/>
      <c r="P50" s="2"/>
      <c r="Q50" s="224"/>
      <c r="R50" s="213"/>
      <c r="S50" s="767"/>
      <c r="T50" s="104" t="s">
        <v>1692</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243</v>
      </c>
      <c r="B51" s="142" t="s">
        <v>244</v>
      </c>
      <c r="C51" s="142"/>
      <c r="D51" s="142"/>
      <c r="E51" s="1288"/>
      <c r="F51" s="1287"/>
      <c r="G51" s="142"/>
      <c r="H51" s="142"/>
      <c r="I51" s="142"/>
      <c r="J51" s="142"/>
      <c r="K51" s="142"/>
      <c r="L51" s="355"/>
      <c r="M51" s="784"/>
      <c r="N51" s="784"/>
      <c r="P51" s="101"/>
      <c r="Q51" s="780"/>
      <c r="R51" s="101"/>
      <c r="S51" s="785"/>
      <c r="T51" s="787" t="s">
        <v>445</v>
      </c>
      <c r="U51" s="323"/>
      <c r="V51" s="323"/>
      <c r="W51" s="323"/>
      <c r="X51" s="323"/>
      <c r="Y51" s="323"/>
      <c r="Z51" s="323"/>
      <c r="AA51" s="323"/>
      <c r="AB51" s="323"/>
      <c r="AC51" s="323"/>
      <c r="AD51" s="323"/>
      <c r="AE51" s="323"/>
      <c r="AF51" s="323"/>
      <c r="AG51" s="323"/>
      <c r="AH51" s="323"/>
      <c r="AI51" s="323"/>
      <c r="AJ51" s="323"/>
      <c r="AK51" s="323"/>
      <c r="AM51" s="66"/>
      <c r="AN51" s="66" t="str">
        <f t="shared" si="1"/>
        <v>Добавить централизованную систему для дифференциации</v>
      </c>
      <c r="AO51" s="66"/>
      <c r="AP51" s="66"/>
    </row>
    <row r="52" spans="1:42" s="65" customFormat="1" ht="0" hidden="1" customHeight="1">
      <c r="A52" s="142" t="s">
        <v>243</v>
      </c>
      <c r="B52" s="142"/>
      <c r="C52" s="142"/>
      <c r="D52" s="142"/>
      <c r="E52" s="1287"/>
      <c r="F52" s="142"/>
      <c r="G52" s="142"/>
      <c r="H52" s="142"/>
      <c r="I52" s="142"/>
      <c r="J52" s="142"/>
      <c r="K52" s="142"/>
      <c r="L52" s="355"/>
      <c r="M52" s="784"/>
      <c r="N52" s="784"/>
      <c r="P52" s="101"/>
      <c r="Q52" s="780"/>
      <c r="R52" s="101"/>
      <c r="S52" s="785"/>
      <c r="T52" s="787" t="s">
        <v>446</v>
      </c>
      <c r="U52" s="323"/>
      <c r="V52" s="323"/>
      <c r="W52" s="323"/>
      <c r="X52" s="323"/>
      <c r="Y52" s="323"/>
      <c r="Z52" s="323"/>
      <c r="AA52" s="323"/>
      <c r="AB52" s="323"/>
      <c r="AC52" s="323"/>
      <c r="AD52" s="323"/>
      <c r="AE52" s="323"/>
      <c r="AF52" s="323"/>
      <c r="AG52" s="323"/>
      <c r="AH52" s="323"/>
      <c r="AI52" s="323"/>
      <c r="AJ52" s="323"/>
      <c r="AK52" s="323"/>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4"/>
      <c r="N53" s="784"/>
      <c r="P53" s="101"/>
      <c r="Q53" s="780"/>
      <c r="R53" s="101"/>
      <c r="S53" s="785"/>
      <c r="T53" s="787" t="s">
        <v>447</v>
      </c>
      <c r="U53" s="323"/>
      <c r="V53" s="323"/>
      <c r="W53" s="323"/>
      <c r="X53" s="323"/>
      <c r="Y53" s="323"/>
      <c r="Z53" s="323"/>
      <c r="AA53" s="323"/>
      <c r="AB53" s="323"/>
      <c r="AC53" s="323"/>
      <c r="AD53" s="323"/>
      <c r="AE53" s="323"/>
      <c r="AF53" s="323"/>
      <c r="AG53" s="323"/>
      <c r="AH53" s="323"/>
      <c r="AI53" s="323"/>
      <c r="AJ53" s="323"/>
      <c r="AK53" s="323"/>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519</v>
      </c>
      <c r="T55" s="1286" t="s">
        <v>1700</v>
      </c>
      <c r="U55" s="1286"/>
      <c r="V55" s="1286"/>
      <c r="W55" s="1286"/>
      <c r="X55" s="1286"/>
      <c r="Y55" s="1286"/>
      <c r="Z55" s="1286"/>
      <c r="AA55" s="1286"/>
      <c r="AB55" s="1286"/>
      <c r="AC55" s="1286"/>
      <c r="AD55" s="1286"/>
      <c r="AE55" s="1286"/>
      <c r="AF55" s="1286"/>
      <c r="AG55" s="1286"/>
      <c r="AH55" s="1286"/>
      <c r="AI55" s="1286"/>
      <c r="AJ55" s="1286"/>
      <c r="AK55" s="1286"/>
    </row>
    <row r="56" spans="1:42" ht="14.25" hidden="1" customHeight="1">
      <c r="O56" s="60"/>
    </row>
    <row r="57" spans="1:42" ht="14.25" hidden="1" customHeight="1">
      <c r="O57" s="60"/>
      <c r="S57" s="204" t="s">
        <v>519</v>
      </c>
      <c r="T57" s="1286" t="s">
        <v>1701</v>
      </c>
      <c r="U57" s="1286"/>
      <c r="V57" s="1286"/>
      <c r="W57" s="1286"/>
      <c r="X57" s="1286"/>
      <c r="Y57" s="1286"/>
      <c r="Z57" s="1286"/>
      <c r="AA57" s="1286"/>
      <c r="AB57" s="1286"/>
      <c r="AC57" s="1286"/>
      <c r="AD57" s="1286"/>
      <c r="AE57" s="1286"/>
      <c r="AF57" s="1286"/>
      <c r="AG57" s="1286"/>
      <c r="AH57" s="1286"/>
      <c r="AI57" s="1286"/>
      <c r="AJ57" s="1286"/>
      <c r="AK57" s="128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2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2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2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2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136E6-4928-36E9-DCEC-343789A9CBC6}">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19" hidden="1" customWidth="1"/>
    <col min="15" max="15" width="23.42578125" style="519" hidden="1" customWidth="1"/>
    <col min="16" max="16" width="3.7109375" style="519" hidden="1" customWidth="1"/>
    <col min="17" max="17" width="3.7109375" style="796"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3"/>
      <c r="B2" s="793"/>
      <c r="C2" s="793"/>
      <c r="D2" s="793"/>
      <c r="E2" s="1287">
        <v>1</v>
      </c>
      <c r="F2" s="793"/>
      <c r="G2" s="793"/>
      <c r="H2" s="793"/>
      <c r="I2" s="793"/>
      <c r="J2" s="793"/>
      <c r="K2" s="793"/>
      <c r="L2" s="794"/>
      <c r="M2" s="433"/>
      <c r="N2" s="433"/>
      <c r="O2" s="433"/>
      <c r="Q2" s="59"/>
      <c r="R2" s="213"/>
      <c r="S2" s="725" t="e">
        <f>INDEX(PT_DIFFERENTIATION_NUM_NTAR,MATCH(A2,PT_DIFFERENTIATION_NTAR_ID,0))</f>
        <v>#N/A</v>
      </c>
      <c r="T2" s="64" t="s">
        <v>139</v>
      </c>
      <c r="U2" s="170"/>
      <c r="V2" s="1282"/>
      <c r="W2" s="1282"/>
      <c r="X2" s="1282"/>
      <c r="Y2" s="1282"/>
      <c r="Z2" s="1282"/>
      <c r="AA2" s="1282"/>
      <c r="AB2" s="1282"/>
      <c r="AC2" s="1283"/>
      <c r="AD2" s="1281" t="e">
        <f>INDEX(PT_DIFFERENTIATION_NTAR,MATCH(A2,PT_DIFFERENTIATION_NTAR_ID,0))</f>
        <v>#N/A</v>
      </c>
      <c r="AE2" s="1282"/>
      <c r="AF2" s="1282"/>
      <c r="AG2" s="1282"/>
      <c r="AH2" s="1282"/>
      <c r="AI2" s="1282"/>
      <c r="AJ2" s="1282"/>
      <c r="AK2" s="1282"/>
      <c r="AL2" s="1282"/>
      <c r="AM2" s="1282"/>
      <c r="AN2" s="1282"/>
      <c r="AO2" s="1282"/>
      <c r="AP2" s="1282"/>
      <c r="AQ2" s="1282"/>
      <c r="AR2" s="1282"/>
      <c r="AS2" s="1282"/>
      <c r="AT2" s="1282"/>
      <c r="AU2" s="1282"/>
      <c r="AV2" s="1282"/>
      <c r="AW2" s="1282"/>
      <c r="AX2" s="1282"/>
      <c r="AY2" s="1282"/>
      <c r="AZ2" s="1282"/>
      <c r="BA2" s="1282"/>
      <c r="BB2" s="1283"/>
      <c r="BC2" s="7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3"/>
      <c r="B3" s="793"/>
      <c r="C3" s="793"/>
      <c r="D3" s="793"/>
      <c r="E3" s="1288"/>
      <c r="F3" s="1287">
        <v>1</v>
      </c>
      <c r="G3" s="793"/>
      <c r="H3" s="793"/>
      <c r="I3" s="793"/>
      <c r="J3" s="793"/>
      <c r="K3" s="793"/>
      <c r="L3" s="794"/>
      <c r="M3" s="433"/>
      <c r="N3" s="433"/>
      <c r="O3" s="433"/>
      <c r="P3" s="312"/>
      <c r="Q3" s="826"/>
      <c r="R3" s="211"/>
      <c r="S3" s="725" t="e">
        <f>INDEX(PT_DIFFERENTIATION_NUM_TER,MATCH(B3,PT_DIFFERENTIATION_TER_ID,0))</f>
        <v>#N/A</v>
      </c>
      <c r="T3" s="178" t="s">
        <v>471</v>
      </c>
      <c r="U3" s="170"/>
      <c r="V3" s="1282"/>
      <c r="W3" s="1282"/>
      <c r="X3" s="1282"/>
      <c r="Y3" s="1282"/>
      <c r="Z3" s="1282"/>
      <c r="AA3" s="1282"/>
      <c r="AB3" s="1282"/>
      <c r="AC3" s="1283"/>
      <c r="AD3" s="1281" t="e">
        <f>INDEX(PT_DIFFERENTIATION_TER,MATCH(B3,PT_DIFFERENTIATION_TER_ID,0))</f>
        <v>#N/A</v>
      </c>
      <c r="AE3" s="1282"/>
      <c r="AF3" s="1282"/>
      <c r="AG3" s="1282"/>
      <c r="AH3" s="1282"/>
      <c r="AI3" s="1282"/>
      <c r="AJ3" s="1282"/>
      <c r="AK3" s="1282"/>
      <c r="AL3" s="1282"/>
      <c r="AM3" s="1282"/>
      <c r="AN3" s="1282"/>
      <c r="AO3" s="1282"/>
      <c r="AP3" s="1282"/>
      <c r="AQ3" s="1282"/>
      <c r="AR3" s="1282"/>
      <c r="AS3" s="1282"/>
      <c r="AT3" s="1282"/>
      <c r="AU3" s="1282"/>
      <c r="AV3" s="1282"/>
      <c r="AW3" s="1282"/>
      <c r="AX3" s="1282"/>
      <c r="AY3" s="1282"/>
      <c r="AZ3" s="1282"/>
      <c r="BA3" s="1282"/>
      <c r="BB3" s="1283"/>
      <c r="BC3" s="753" t="s">
        <v>472</v>
      </c>
      <c r="BE3" s="66"/>
      <c r="BF3" s="66" t="str">
        <f t="shared" si="0"/>
        <v>Территория действия тарифа</v>
      </c>
      <c r="BG3" s="66"/>
      <c r="BH3" s="66"/>
    </row>
    <row r="4" spans="1:60" ht="42" hidden="1" customHeight="1">
      <c r="A4" s="793"/>
      <c r="B4" s="793"/>
      <c r="C4" s="793"/>
      <c r="D4" s="793"/>
      <c r="E4" s="1288"/>
      <c r="F4" s="1288"/>
      <c r="G4" s="1287">
        <v>1</v>
      </c>
      <c r="H4" s="793"/>
      <c r="I4" s="793"/>
      <c r="J4" s="793"/>
      <c r="K4" s="793"/>
      <c r="L4" s="794"/>
      <c r="M4" s="433"/>
      <c r="N4" s="433"/>
      <c r="O4" s="433"/>
      <c r="P4" s="128"/>
      <c r="Q4" s="826"/>
      <c r="R4" s="211"/>
      <c r="S4" s="725" t="e">
        <f>INDEX(PT_DIFFERENTIATION_NUM_CS,MATCH(C4,PT_DIFFERENTIATION_CS_ID,0))</f>
        <v>#N/A</v>
      </c>
      <c r="T4" s="179" t="s">
        <v>1685</v>
      </c>
      <c r="U4" s="170"/>
      <c r="V4" s="1282"/>
      <c r="W4" s="1282"/>
      <c r="X4" s="1282"/>
      <c r="Y4" s="1282"/>
      <c r="Z4" s="1282"/>
      <c r="AA4" s="1282"/>
      <c r="AB4" s="1282"/>
      <c r="AC4" s="1283"/>
      <c r="AD4" s="1281" t="e">
        <f>INDEX(PT_DIFFERENTIATION_CS,MATCH(C4,PT_DIFFERENTIATION_CS_ID,0))</f>
        <v>#N/A</v>
      </c>
      <c r="AE4" s="1282"/>
      <c r="AF4" s="1282"/>
      <c r="AG4" s="1282"/>
      <c r="AH4" s="1282"/>
      <c r="AI4" s="1282"/>
      <c r="AJ4" s="1282"/>
      <c r="AK4" s="1282"/>
      <c r="AL4" s="1282"/>
      <c r="AM4" s="1282"/>
      <c r="AN4" s="1282"/>
      <c r="AO4" s="1282"/>
      <c r="AP4" s="1282"/>
      <c r="AQ4" s="1282"/>
      <c r="AR4" s="1282"/>
      <c r="AS4" s="1282"/>
      <c r="AT4" s="1282"/>
      <c r="AU4" s="1282"/>
      <c r="AV4" s="1282"/>
      <c r="AW4" s="1282"/>
      <c r="AX4" s="1282"/>
      <c r="AY4" s="1282"/>
      <c r="AZ4" s="1282"/>
      <c r="BA4" s="1282"/>
      <c r="BB4" s="1283"/>
      <c r="BC4" s="753" t="s">
        <v>1686</v>
      </c>
      <c r="BE4" s="66"/>
      <c r="BF4" s="66" t="str">
        <f t="shared" si="0"/>
        <v>Наименование централизованной системы холодного водоснабжения</v>
      </c>
      <c r="BG4" s="66"/>
      <c r="BH4" s="66"/>
    </row>
    <row r="5" spans="1:60" s="65" customFormat="1" ht="14.25" hidden="1" customHeight="1">
      <c r="A5" s="142"/>
      <c r="B5" s="142"/>
      <c r="C5" s="142"/>
      <c r="D5" s="142"/>
      <c r="E5" s="1288"/>
      <c r="F5" s="1288"/>
      <c r="G5" s="1288"/>
      <c r="H5" s="1287">
        <v>1</v>
      </c>
      <c r="I5" s="142"/>
      <c r="J5" s="142"/>
      <c r="K5" s="142"/>
      <c r="L5" s="355"/>
      <c r="M5" s="304"/>
      <c r="N5" s="304"/>
      <c r="O5" s="304"/>
      <c r="P5" s="844"/>
      <c r="Q5" s="845"/>
      <c r="R5" s="215"/>
      <c r="S5" s="371"/>
      <c r="T5" s="846"/>
      <c r="U5" s="804"/>
      <c r="V5" s="1317"/>
      <c r="W5" s="1317"/>
      <c r="X5" s="1317"/>
      <c r="Y5" s="1317"/>
      <c r="Z5" s="1317"/>
      <c r="AA5" s="1317"/>
      <c r="AB5" s="1317"/>
      <c r="AC5" s="1318"/>
      <c r="AD5" s="1316"/>
      <c r="AE5" s="1317"/>
      <c r="AF5" s="1317"/>
      <c r="AG5" s="1317"/>
      <c r="AH5" s="1317"/>
      <c r="AI5" s="1317"/>
      <c r="AJ5" s="1317"/>
      <c r="AK5" s="1317"/>
      <c r="AL5" s="1317"/>
      <c r="AM5" s="1317"/>
      <c r="AN5" s="1317"/>
      <c r="AO5" s="1317"/>
      <c r="AP5" s="1317"/>
      <c r="AQ5" s="1317"/>
      <c r="AR5" s="1317"/>
      <c r="AS5" s="1317"/>
      <c r="AT5" s="1317"/>
      <c r="AU5" s="1317"/>
      <c r="AV5" s="1317"/>
      <c r="AW5" s="1317"/>
      <c r="AX5" s="1317"/>
      <c r="AY5" s="1317"/>
      <c r="AZ5" s="1317"/>
      <c r="BA5" s="1317"/>
      <c r="BB5" s="1318"/>
      <c r="BC5" s="805" t="s">
        <v>476</v>
      </c>
      <c r="BE5" s="66"/>
      <c r="BF5" s="66" t="str">
        <f t="shared" si="0"/>
        <v/>
      </c>
      <c r="BG5" s="66"/>
      <c r="BH5" s="66"/>
    </row>
    <row r="6" spans="1:60" s="65" customFormat="1" ht="14.25" hidden="1" customHeight="1">
      <c r="A6" s="142"/>
      <c r="B6" s="142"/>
      <c r="C6" s="142"/>
      <c r="D6" s="142"/>
      <c r="E6" s="1288"/>
      <c r="F6" s="1288"/>
      <c r="G6" s="1288"/>
      <c r="H6" s="1288"/>
      <c r="I6" s="1289" t="str">
        <f>S5&amp;".1"</f>
        <v>.1</v>
      </c>
      <c r="J6" s="142"/>
      <c r="K6" s="142"/>
      <c r="L6" s="355" t="s">
        <v>477</v>
      </c>
      <c r="M6" s="228"/>
      <c r="N6" s="228"/>
      <c r="O6" s="228"/>
      <c r="P6" s="1211">
        <v>1</v>
      </c>
      <c r="Q6" s="119"/>
      <c r="R6" s="214"/>
      <c r="S6" s="371"/>
      <c r="T6" s="803"/>
      <c r="U6" s="804"/>
      <c r="V6" s="1317"/>
      <c r="W6" s="1317"/>
      <c r="X6" s="1317"/>
      <c r="Y6" s="1317"/>
      <c r="Z6" s="1317"/>
      <c r="AA6" s="1317"/>
      <c r="AB6" s="1317"/>
      <c r="AC6" s="1318"/>
      <c r="AD6" s="1316"/>
      <c r="AE6" s="1317"/>
      <c r="AF6" s="1317"/>
      <c r="AG6" s="1317"/>
      <c r="AH6" s="1317"/>
      <c r="AI6" s="1317"/>
      <c r="AJ6" s="1317"/>
      <c r="AK6" s="1317"/>
      <c r="AL6" s="1317"/>
      <c r="AM6" s="1317"/>
      <c r="AN6" s="1317"/>
      <c r="AO6" s="1317"/>
      <c r="AP6" s="1317"/>
      <c r="AQ6" s="1317"/>
      <c r="AR6" s="1317"/>
      <c r="AS6" s="1317"/>
      <c r="AT6" s="1317"/>
      <c r="AU6" s="1317"/>
      <c r="AV6" s="1317"/>
      <c r="AW6" s="1317"/>
      <c r="AX6" s="1317"/>
      <c r="AY6" s="1317"/>
      <c r="AZ6" s="1317"/>
      <c r="BA6" s="1317"/>
      <c r="BB6" s="1318"/>
      <c r="BC6" s="805"/>
      <c r="BE6" s="66"/>
      <c r="BF6" s="66" t="str">
        <f t="shared" si="0"/>
        <v/>
      </c>
      <c r="BG6" s="66"/>
      <c r="BH6" s="66"/>
    </row>
    <row r="7" spans="1:60" s="65" customFormat="1" ht="14.25" hidden="1" customHeight="1">
      <c r="A7" s="142"/>
      <c r="B7" s="142"/>
      <c r="C7" s="142"/>
      <c r="D7" s="142"/>
      <c r="E7" s="1288"/>
      <c r="F7" s="1288"/>
      <c r="G7" s="1288"/>
      <c r="H7" s="1288"/>
      <c r="I7" s="1290"/>
      <c r="J7" s="1289" t="str">
        <f>S5&amp;".1"</f>
        <v>.1</v>
      </c>
      <c r="K7" s="142"/>
      <c r="L7" s="355"/>
      <c r="M7" s="228"/>
      <c r="N7" s="228"/>
      <c r="O7" s="228"/>
      <c r="P7" s="1211"/>
      <c r="Q7" s="1211">
        <v>1</v>
      </c>
      <c r="R7" s="215"/>
      <c r="S7" s="371"/>
      <c r="T7" s="818"/>
      <c r="U7" s="804"/>
      <c r="V7" s="1317"/>
      <c r="W7" s="1317"/>
      <c r="X7" s="1317"/>
      <c r="Y7" s="1317"/>
      <c r="Z7" s="1317"/>
      <c r="AA7" s="1317"/>
      <c r="AB7" s="1317"/>
      <c r="AC7" s="1318"/>
      <c r="AD7" s="1316"/>
      <c r="AE7" s="1317"/>
      <c r="AF7" s="1317"/>
      <c r="AG7" s="1317"/>
      <c r="AH7" s="1317"/>
      <c r="AI7" s="1317"/>
      <c r="AJ7" s="1317"/>
      <c r="AK7" s="1317"/>
      <c r="AL7" s="1317"/>
      <c r="AM7" s="1317"/>
      <c r="AN7" s="1317"/>
      <c r="AO7" s="1317"/>
      <c r="AP7" s="1317"/>
      <c r="AQ7" s="1317"/>
      <c r="AR7" s="1317"/>
      <c r="AS7" s="1317"/>
      <c r="AT7" s="1317"/>
      <c r="AU7" s="1317"/>
      <c r="AV7" s="1317"/>
      <c r="AW7" s="1317"/>
      <c r="AX7" s="1317"/>
      <c r="AY7" s="1317"/>
      <c r="AZ7" s="1317"/>
      <c r="BA7" s="1317"/>
      <c r="BB7" s="1318"/>
      <c r="BC7" s="805"/>
      <c r="BE7" s="66"/>
      <c r="BF7" s="66" t="str">
        <f t="shared" si="0"/>
        <v/>
      </c>
      <c r="BG7" s="66"/>
      <c r="BH7" s="66"/>
    </row>
    <row r="8" spans="1:60" ht="11.25" hidden="1" customHeight="1">
      <c r="A8" s="793"/>
      <c r="B8" s="793"/>
      <c r="C8" s="793"/>
      <c r="D8" s="793"/>
      <c r="E8" s="1288"/>
      <c r="F8" s="1288"/>
      <c r="G8" s="1288"/>
      <c r="H8" s="1288"/>
      <c r="I8" s="1290"/>
      <c r="J8" s="1290"/>
      <c r="K8" s="1289" t="e">
        <f>S4&amp;".1"</f>
        <v>#N/A</v>
      </c>
      <c r="L8" s="794"/>
      <c r="P8" s="1211"/>
      <c r="Q8" s="1211"/>
      <c r="R8" s="1340">
        <v>1</v>
      </c>
      <c r="S8" s="1337" t="e">
        <f>$K8</f>
        <v>#N/A</v>
      </c>
      <c r="T8" s="1396"/>
      <c r="U8" s="170"/>
      <c r="V8" s="317"/>
      <c r="W8" s="752"/>
      <c r="X8" s="317"/>
      <c r="Y8" s="752"/>
      <c r="Z8" s="974"/>
      <c r="AA8" s="308" t="s">
        <v>59</v>
      </c>
      <c r="AB8" s="974"/>
      <c r="AC8" s="308" t="s">
        <v>59</v>
      </c>
      <c r="AD8" s="1158" t="s">
        <v>59</v>
      </c>
      <c r="AE8" s="1333"/>
      <c r="AF8" s="1171">
        <v>1</v>
      </c>
      <c r="AG8" s="1395"/>
      <c r="AH8" s="1092" t="s">
        <v>59</v>
      </c>
      <c r="AI8" s="1333"/>
      <c r="AJ8" s="1171">
        <v>1</v>
      </c>
      <c r="AK8" s="1394" t="s">
        <v>18</v>
      </c>
      <c r="AL8" s="1092" t="s">
        <v>59</v>
      </c>
      <c r="AM8" s="1146"/>
      <c r="AN8" s="1171">
        <v>1</v>
      </c>
      <c r="AO8" s="1399"/>
      <c r="AP8" s="1400" t="s">
        <v>59</v>
      </c>
      <c r="AQ8" s="181"/>
      <c r="AR8" s="280">
        <v>1</v>
      </c>
      <c r="AS8" s="116" t="s">
        <v>18</v>
      </c>
      <c r="AT8" s="317"/>
      <c r="AU8" s="752"/>
      <c r="AV8" s="317"/>
      <c r="AW8" s="752"/>
      <c r="AX8" s="974"/>
      <c r="AY8" s="308" t="s">
        <v>59</v>
      </c>
      <c r="AZ8" s="974"/>
      <c r="BA8" s="308" t="s">
        <v>59</v>
      </c>
      <c r="BB8" s="790"/>
      <c r="BC8" s="1309" t="s">
        <v>1705</v>
      </c>
      <c r="BE8" s="66"/>
      <c r="BF8" s="66" t="str">
        <f t="shared" si="0"/>
        <v/>
      </c>
      <c r="BG8" s="66"/>
      <c r="BH8" s="66"/>
    </row>
    <row r="9" spans="1:60" ht="11.25" hidden="1" customHeight="1">
      <c r="A9" s="793"/>
      <c r="B9" s="793"/>
      <c r="C9" s="793"/>
      <c r="D9" s="793"/>
      <c r="E9" s="1288"/>
      <c r="F9" s="1288"/>
      <c r="G9" s="1288"/>
      <c r="H9" s="1288"/>
      <c r="I9" s="1290"/>
      <c r="J9" s="1290"/>
      <c r="K9" s="1289"/>
      <c r="L9" s="794"/>
      <c r="P9" s="1211"/>
      <c r="Q9" s="1211"/>
      <c r="R9" s="1340"/>
      <c r="S9" s="1338"/>
      <c r="T9" s="1397"/>
      <c r="U9" s="170"/>
      <c r="V9" s="813"/>
      <c r="W9" s="843"/>
      <c r="X9" s="813"/>
      <c r="Y9" s="843"/>
      <c r="Z9" s="813"/>
      <c r="AA9" s="813"/>
      <c r="AB9" s="813"/>
      <c r="AC9" s="813"/>
      <c r="AD9" s="1159"/>
      <c r="AE9" s="1333"/>
      <c r="AF9" s="1171"/>
      <c r="AG9" s="1395"/>
      <c r="AH9" s="1092"/>
      <c r="AI9" s="1333"/>
      <c r="AJ9" s="1171"/>
      <c r="AK9" s="1394"/>
      <c r="AL9" s="1092"/>
      <c r="AM9" s="1151"/>
      <c r="AN9" s="1171"/>
      <c r="AO9" s="1399"/>
      <c r="AP9" s="1401"/>
      <c r="AQ9" s="186"/>
      <c r="AR9" s="50"/>
      <c r="AS9" s="50" t="s">
        <v>1706</v>
      </c>
      <c r="AT9" s="813"/>
      <c r="AU9" s="843"/>
      <c r="AV9" s="813"/>
      <c r="AW9" s="843"/>
      <c r="AX9" s="813"/>
      <c r="AY9" s="813"/>
      <c r="AZ9" s="813"/>
      <c r="BA9" s="813"/>
      <c r="BB9" s="817"/>
      <c r="BC9" s="1310"/>
      <c r="BE9" s="66"/>
      <c r="BF9" s="66"/>
      <c r="BG9" s="66"/>
      <c r="BH9" s="66"/>
    </row>
    <row r="10" spans="1:60" ht="11.25" hidden="1" customHeight="1">
      <c r="A10" s="793"/>
      <c r="B10" s="793"/>
      <c r="C10" s="793"/>
      <c r="D10" s="793"/>
      <c r="E10" s="1288"/>
      <c r="F10" s="1288"/>
      <c r="G10" s="1288"/>
      <c r="H10" s="1288"/>
      <c r="I10" s="1290"/>
      <c r="J10" s="1290"/>
      <c r="K10" s="1289"/>
      <c r="L10" s="794"/>
      <c r="P10" s="1211"/>
      <c r="Q10" s="1211"/>
      <c r="R10" s="1340"/>
      <c r="S10" s="1338"/>
      <c r="T10" s="1397"/>
      <c r="U10" s="170"/>
      <c r="V10" s="813"/>
      <c r="W10" s="843"/>
      <c r="X10" s="813"/>
      <c r="Y10" s="843"/>
      <c r="Z10" s="813"/>
      <c r="AA10" s="813"/>
      <c r="AB10" s="813"/>
      <c r="AC10" s="813"/>
      <c r="AD10" s="1159"/>
      <c r="AE10" s="1333"/>
      <c r="AF10" s="1171"/>
      <c r="AG10" s="1395"/>
      <c r="AH10" s="1092"/>
      <c r="AI10" s="1333"/>
      <c r="AJ10" s="1171"/>
      <c r="AK10" s="1394"/>
      <c r="AL10" s="1092"/>
      <c r="AM10" s="186"/>
      <c r="AN10" s="847"/>
      <c r="AO10" s="847" t="s">
        <v>1707</v>
      </c>
      <c r="AP10" s="50"/>
      <c r="AQ10" s="50"/>
      <c r="AR10" s="50"/>
      <c r="AS10" s="813"/>
      <c r="AT10" s="813"/>
      <c r="AU10" s="843"/>
      <c r="AV10" s="813"/>
      <c r="AW10" s="843"/>
      <c r="AX10" s="813"/>
      <c r="AY10" s="813"/>
      <c r="AZ10" s="813"/>
      <c r="BA10" s="813"/>
      <c r="BB10" s="817"/>
      <c r="BC10" s="1310"/>
      <c r="BE10" s="66"/>
      <c r="BF10" s="66"/>
      <c r="BG10" s="66"/>
      <c r="BH10" s="66"/>
    </row>
    <row r="11" spans="1:60" ht="11.25" hidden="1" customHeight="1">
      <c r="A11" s="793"/>
      <c r="B11" s="793"/>
      <c r="C11" s="793"/>
      <c r="D11" s="793"/>
      <c r="E11" s="1288"/>
      <c r="F11" s="1288"/>
      <c r="G11" s="1288"/>
      <c r="H11" s="1288"/>
      <c r="I11" s="1290"/>
      <c r="J11" s="1290"/>
      <c r="K11" s="1289"/>
      <c r="L11" s="794"/>
      <c r="P11" s="1211"/>
      <c r="Q11" s="1211"/>
      <c r="R11" s="1340"/>
      <c r="S11" s="1338"/>
      <c r="T11" s="1397"/>
      <c r="U11" s="170"/>
      <c r="V11" s="813"/>
      <c r="W11" s="843"/>
      <c r="X11" s="813"/>
      <c r="Y11" s="843"/>
      <c r="Z11" s="813"/>
      <c r="AA11" s="813"/>
      <c r="AB11" s="813"/>
      <c r="AC11" s="813"/>
      <c r="AD11" s="1159"/>
      <c r="AE11" s="1333"/>
      <c r="AF11" s="1171"/>
      <c r="AG11" s="1395"/>
      <c r="AH11" s="1092"/>
      <c r="AI11" s="168"/>
      <c r="AJ11" s="107"/>
      <c r="AK11" s="183" t="s">
        <v>1708</v>
      </c>
      <c r="AL11" s="813"/>
      <c r="AM11" s="813"/>
      <c r="AN11" s="813"/>
      <c r="AO11" s="813"/>
      <c r="AP11" s="813"/>
      <c r="AQ11" s="813"/>
      <c r="AR11" s="813"/>
      <c r="AS11" s="813"/>
      <c r="AT11" s="813"/>
      <c r="AU11" s="843"/>
      <c r="AV11" s="813"/>
      <c r="AW11" s="843"/>
      <c r="AX11" s="813"/>
      <c r="AY11" s="813"/>
      <c r="AZ11" s="813"/>
      <c r="BA11" s="813"/>
      <c r="BB11" s="817"/>
      <c r="BC11" s="1310"/>
      <c r="BE11" s="66"/>
      <c r="BF11" s="66"/>
      <c r="BG11" s="66"/>
      <c r="BH11" s="66"/>
    </row>
    <row r="12" spans="1:60" ht="11.25" hidden="1" customHeight="1">
      <c r="A12" s="793"/>
      <c r="B12" s="793"/>
      <c r="C12" s="793"/>
      <c r="D12" s="793"/>
      <c r="E12" s="1288"/>
      <c r="F12" s="1288"/>
      <c r="G12" s="1288"/>
      <c r="H12" s="1288"/>
      <c r="I12" s="1290"/>
      <c r="J12" s="1290"/>
      <c r="K12" s="1289"/>
      <c r="L12" s="794"/>
      <c r="P12" s="1211"/>
      <c r="Q12" s="1211"/>
      <c r="R12" s="1340"/>
      <c r="S12" s="1339"/>
      <c r="T12" s="1398"/>
      <c r="U12" s="170"/>
      <c r="V12" s="813"/>
      <c r="W12" s="814" t="str">
        <f>Z8&amp;"-"&amp;AB8</f>
        <v>-</v>
      </c>
      <c r="X12" s="813"/>
      <c r="Y12" s="814" t="str">
        <f>AB8&amp;"-"&amp;AD8</f>
        <v>-да</v>
      </c>
      <c r="Z12" s="813"/>
      <c r="AA12" s="813"/>
      <c r="AB12" s="813"/>
      <c r="AC12" s="813"/>
      <c r="AD12" s="1098"/>
      <c r="AE12" s="182"/>
      <c r="AF12" s="184"/>
      <c r="AG12" s="50" t="s">
        <v>1709</v>
      </c>
      <c r="AH12" s="813"/>
      <c r="AI12" s="813"/>
      <c r="AJ12" s="813"/>
      <c r="AK12" s="813"/>
      <c r="AL12" s="813"/>
      <c r="AM12" s="813"/>
      <c r="AN12" s="813"/>
      <c r="AO12" s="813"/>
      <c r="AP12" s="813"/>
      <c r="AQ12" s="813"/>
      <c r="AR12" s="813"/>
      <c r="AS12" s="813"/>
      <c r="AT12" s="813"/>
      <c r="AU12" s="814" t="str">
        <f>AX8&amp;"-"&amp;AZ8</f>
        <v>-</v>
      </c>
      <c r="AV12" s="813"/>
      <c r="AW12" s="814" t="str">
        <f>AZ8&amp;"-"&amp;BB8</f>
        <v>-</v>
      </c>
      <c r="AX12" s="813"/>
      <c r="AY12" s="813"/>
      <c r="AZ12" s="813"/>
      <c r="BA12" s="813"/>
      <c r="BB12" s="816" t="str">
        <f>BE8&amp;"-"&amp;BG8</f>
        <v>-</v>
      </c>
      <c r="BC12" s="1310"/>
      <c r="BE12" s="66"/>
      <c r="BF12" s="66" t="str">
        <f t="shared" ref="BF12:BF18" si="1">IF(T12="","",T12)</f>
        <v/>
      </c>
      <c r="BG12" s="66"/>
      <c r="BH12" s="66"/>
    </row>
    <row r="13" spans="1:60" ht="11.25" hidden="1" customHeight="1">
      <c r="A13" s="793"/>
      <c r="B13" s="793"/>
      <c r="C13" s="793"/>
      <c r="D13" s="793"/>
      <c r="E13" s="1288"/>
      <c r="F13" s="1288"/>
      <c r="G13" s="1288"/>
      <c r="H13" s="1288"/>
      <c r="I13" s="1290"/>
      <c r="J13" s="1289"/>
      <c r="K13" s="793"/>
      <c r="L13" s="794"/>
      <c r="P13" s="1211"/>
      <c r="Q13" s="1211"/>
      <c r="R13" s="214"/>
      <c r="S13" s="767"/>
      <c r="T13" s="165" t="s">
        <v>551</v>
      </c>
      <c r="U13" s="221"/>
      <c r="V13" s="221"/>
      <c r="W13" s="221"/>
      <c r="X13" s="221"/>
      <c r="Y13" s="221"/>
      <c r="Z13" s="221"/>
      <c r="AA13" s="221"/>
      <c r="AB13" s="221"/>
      <c r="AC13" s="221"/>
      <c r="AD13" s="85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311"/>
      <c r="BE13" s="66"/>
      <c r="BF13" s="66" t="str">
        <f t="shared" si="1"/>
        <v>Добавить строку</v>
      </c>
      <c r="BG13" s="66"/>
      <c r="BH13" s="66"/>
    </row>
    <row r="14" spans="1:60" s="65" customFormat="1" ht="14.25" hidden="1" customHeight="1">
      <c r="A14" s="142"/>
      <c r="B14" s="142"/>
      <c r="C14" s="142"/>
      <c r="D14" s="142"/>
      <c r="E14" s="1288"/>
      <c r="F14" s="1288"/>
      <c r="G14" s="1288"/>
      <c r="H14" s="1288"/>
      <c r="I14" s="1289"/>
      <c r="J14" s="142"/>
      <c r="K14" s="142"/>
      <c r="L14" s="355"/>
      <c r="M14" s="228"/>
      <c r="N14" s="228"/>
      <c r="O14" s="228"/>
      <c r="P14" s="1211"/>
      <c r="Q14" s="119"/>
      <c r="R14" s="214"/>
      <c r="S14" s="806"/>
      <c r="T14" s="807"/>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c r="BA14" s="808"/>
      <c r="BB14" s="808"/>
      <c r="BC14" s="809"/>
      <c r="BE14" s="66"/>
      <c r="BF14" s="66" t="str">
        <f t="shared" si="1"/>
        <v/>
      </c>
      <c r="BG14" s="66"/>
      <c r="BH14" s="66"/>
    </row>
    <row r="15" spans="1:60" s="65" customFormat="1" ht="14.25" hidden="1" customHeight="1">
      <c r="A15" s="142"/>
      <c r="B15" s="142"/>
      <c r="C15" s="142"/>
      <c r="D15" s="142"/>
      <c r="E15" s="1288"/>
      <c r="F15" s="1288"/>
      <c r="G15" s="1288"/>
      <c r="H15" s="1287"/>
      <c r="I15" s="142"/>
      <c r="J15" s="142"/>
      <c r="K15" s="142"/>
      <c r="L15" s="355"/>
      <c r="M15" s="304"/>
      <c r="N15" s="304"/>
      <c r="P15" s="101"/>
      <c r="Q15" s="780"/>
      <c r="R15" s="820"/>
      <c r="S15" s="806"/>
      <c r="T15" s="807"/>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08"/>
      <c r="AY15" s="808"/>
      <c r="AZ15" s="808"/>
      <c r="BA15" s="808"/>
      <c r="BB15" s="808"/>
      <c r="BC15" s="809"/>
      <c r="BE15" s="66"/>
      <c r="BF15" s="66" t="str">
        <f t="shared" si="1"/>
        <v/>
      </c>
      <c r="BG15" s="66"/>
      <c r="BH15" s="66"/>
    </row>
    <row r="16" spans="1:60" s="65" customFormat="1" ht="14.25" hidden="1" customHeight="1">
      <c r="A16" s="142"/>
      <c r="B16" s="142"/>
      <c r="C16" s="142"/>
      <c r="D16" s="142"/>
      <c r="E16" s="1288"/>
      <c r="F16" s="1288"/>
      <c r="G16" s="1287"/>
      <c r="H16" s="142"/>
      <c r="I16" s="142"/>
      <c r="J16" s="142"/>
      <c r="K16" s="142"/>
      <c r="L16" s="355"/>
      <c r="M16" s="304"/>
      <c r="N16" s="304"/>
      <c r="P16" s="101"/>
      <c r="Q16" s="780"/>
      <c r="R16" s="101"/>
      <c r="S16" s="785"/>
      <c r="T16" s="787"/>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E16" s="66"/>
      <c r="BF16" s="66" t="str">
        <f t="shared" si="1"/>
        <v/>
      </c>
      <c r="BG16" s="66"/>
      <c r="BH16" s="66"/>
    </row>
    <row r="17" spans="1:60" s="65" customFormat="1" ht="14.25" hidden="1" customHeight="1">
      <c r="A17" s="142"/>
      <c r="B17" s="142"/>
      <c r="C17" s="142"/>
      <c r="D17" s="142"/>
      <c r="E17" s="1288"/>
      <c r="F17" s="1287"/>
      <c r="G17" s="142"/>
      <c r="H17" s="142"/>
      <c r="I17" s="142"/>
      <c r="J17" s="142"/>
      <c r="K17" s="142"/>
      <c r="L17" s="355"/>
      <c r="M17" s="784"/>
      <c r="N17" s="784"/>
      <c r="P17" s="101"/>
      <c r="Q17" s="780"/>
      <c r="R17" s="101"/>
      <c r="S17" s="785"/>
      <c r="T17" s="787" t="s">
        <v>445</v>
      </c>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87"/>
      <c r="F18" s="142"/>
      <c r="G18" s="142"/>
      <c r="H18" s="142"/>
      <c r="I18" s="142"/>
      <c r="J18" s="142"/>
      <c r="K18" s="142"/>
      <c r="L18" s="355"/>
      <c r="M18" s="784"/>
      <c r="N18" s="784"/>
      <c r="P18" s="101"/>
      <c r="Q18" s="780"/>
      <c r="R18" s="101"/>
      <c r="S18" s="785"/>
      <c r="T18" s="787" t="s">
        <v>446</v>
      </c>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E18" s="66"/>
      <c r="BF18" s="66" t="str">
        <f t="shared" si="1"/>
        <v>Добавить территорию для дифференциации</v>
      </c>
      <c r="BG18" s="66"/>
      <c r="BH18" s="66"/>
    </row>
    <row r="19" spans="1:60" ht="14.25" hidden="1" customHeight="1"/>
    <row r="20" spans="1:60" ht="14.25" hidden="1" customHeight="1">
      <c r="AD20" s="323" t="s">
        <v>57</v>
      </c>
      <c r="AE20" s="848"/>
      <c r="AF20" s="323">
        <v>1</v>
      </c>
      <c r="AG20" s="849"/>
      <c r="AH20" s="323" t="s">
        <v>57</v>
      </c>
      <c r="AI20" s="848"/>
      <c r="AJ20" s="323">
        <v>1</v>
      </c>
      <c r="AK20" s="849"/>
      <c r="AL20" s="323" t="s">
        <v>57</v>
      </c>
      <c r="AM20" s="850"/>
      <c r="AN20" s="323">
        <v>1</v>
      </c>
      <c r="AO20" s="124"/>
      <c r="AP20" s="323" t="s">
        <v>57</v>
      </c>
      <c r="AQ20" s="850"/>
      <c r="AR20" s="323">
        <v>1</v>
      </c>
      <c r="AS20" s="124"/>
      <c r="AT20" s="196"/>
      <c r="AU20" s="231"/>
      <c r="AV20" s="196"/>
      <c r="AW20" s="231"/>
      <c r="AX20" s="976"/>
      <c r="AY20" s="840" t="s">
        <v>59</v>
      </c>
      <c r="AZ20" s="976"/>
      <c r="BA20" s="840" t="s">
        <v>59</v>
      </c>
    </row>
    <row r="21" spans="1:60" ht="14.25" hidden="1" customHeight="1">
      <c r="BD21" s="209"/>
      <c r="BE21" s="209"/>
      <c r="BF21" s="209"/>
      <c r="BG21" s="209"/>
      <c r="BH21" s="209"/>
    </row>
    <row r="22" spans="1:60" ht="14.25" hidden="1" customHeight="1">
      <c r="O22" s="795" t="s">
        <v>488</v>
      </c>
      <c r="Z22" s="185"/>
      <c r="AB22" s="185"/>
      <c r="AX22" s="185"/>
      <c r="AZ22" s="185"/>
      <c r="BD22" s="209"/>
      <c r="BE22" s="209"/>
      <c r="BF22" s="209"/>
      <c r="BG22" s="209"/>
      <c r="BH22" s="209"/>
    </row>
    <row r="23" spans="1:60" ht="14.25" hidden="1" customHeight="1">
      <c r="BD23" s="209"/>
      <c r="BE23" s="209"/>
      <c r="BF23" s="209"/>
      <c r="BG23" s="209"/>
      <c r="BH23" s="209"/>
    </row>
    <row r="24" spans="1:60" s="853" customFormat="1" ht="14.25" hidden="1" customHeight="1">
      <c r="M24" s="854"/>
      <c r="N24" s="854"/>
      <c r="O24" s="853" t="s">
        <v>489</v>
      </c>
      <c r="P24" s="854"/>
      <c r="Q24" s="855"/>
      <c r="R24" s="855"/>
      <c r="AA24" s="853" t="s">
        <v>491</v>
      </c>
      <c r="AC24" s="853" t="s">
        <v>492</v>
      </c>
      <c r="AD24" s="853" t="s">
        <v>552</v>
      </c>
      <c r="AH24" s="853" t="s">
        <v>552</v>
      </c>
      <c r="AK24" s="853" t="s">
        <v>1710</v>
      </c>
      <c r="AL24" s="853" t="s">
        <v>552</v>
      </c>
      <c r="AP24" s="853" t="s">
        <v>552</v>
      </c>
      <c r="AY24" s="853" t="s">
        <v>491</v>
      </c>
      <c r="BA24" s="853" t="s">
        <v>492</v>
      </c>
      <c r="BD24" s="856"/>
      <c r="BE24" s="856"/>
      <c r="BF24" s="856"/>
      <c r="BG24" s="856"/>
      <c r="BH24" s="856"/>
    </row>
    <row r="25" spans="1:60" ht="14.25" hidden="1" customHeight="1">
      <c r="O25" s="794"/>
      <c r="BD25" s="209"/>
      <c r="BE25" s="209"/>
      <c r="BF25" s="209"/>
      <c r="BG25" s="209"/>
      <c r="BH25" s="209"/>
    </row>
    <row r="26" spans="1:60" ht="14.25" hidden="1" customHeight="1">
      <c r="O26" s="794"/>
      <c r="BD26" s="209"/>
      <c r="BE26" s="209"/>
      <c r="BF26" s="209"/>
      <c r="BG26" s="209"/>
      <c r="BH26" s="209"/>
    </row>
    <row r="27" spans="1:60" ht="14.25" customHeight="1">
      <c r="Q27" s="167"/>
      <c r="R27" s="27"/>
      <c r="S27" s="764"/>
      <c r="T27" s="8"/>
      <c r="U27" s="8"/>
    </row>
    <row r="28" spans="1:60" ht="33.75" customHeight="1">
      <c r="Q28" s="167"/>
      <c r="R28" s="27"/>
      <c r="S28" s="1312"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1312"/>
      <c r="U28" s="1312"/>
      <c r="V28" s="1312"/>
      <c r="W28" s="1312"/>
      <c r="X28" s="1312"/>
      <c r="Y28" s="1312"/>
      <c r="Z28" s="1312"/>
      <c r="AA28" s="1312"/>
      <c r="AB28" s="1312"/>
      <c r="AC28" s="1312"/>
      <c r="AD28" s="1312"/>
      <c r="AE28" s="1312"/>
      <c r="AF28" s="1312"/>
      <c r="AG28" s="1312"/>
      <c r="AH28" s="1312"/>
      <c r="AI28" s="1312"/>
      <c r="AJ28" s="1312"/>
      <c r="AK28" s="1312"/>
      <c r="AL28" s="1312"/>
      <c r="AM28" s="1312"/>
      <c r="AN28" s="1312"/>
      <c r="AO28" s="1312"/>
      <c r="AP28" s="1312"/>
      <c r="AQ28" s="1312"/>
      <c r="AR28" s="1312"/>
      <c r="AS28" s="1312"/>
      <c r="AT28" s="1312"/>
      <c r="AU28" s="1312"/>
      <c r="AV28" s="1312"/>
      <c r="AW28" s="1312"/>
      <c r="AX28" s="1312"/>
      <c r="AY28" s="1312"/>
      <c r="AZ28" s="1312"/>
      <c r="BA28" s="57"/>
    </row>
    <row r="29" spans="1:60" ht="14.25" customHeight="1">
      <c r="Q29" s="167"/>
      <c r="R29" s="27"/>
      <c r="S29" s="1178" t="str">
        <f>IF(org=0,"Не определено",org)</f>
        <v>ООО "Концессионная Коммунальная Компания"</v>
      </c>
      <c r="T29" s="1178"/>
      <c r="U29" s="1178"/>
      <c r="V29" s="1178"/>
      <c r="W29" s="1178"/>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178"/>
      <c r="AS29" s="1178"/>
      <c r="AT29" s="1178"/>
      <c r="AU29" s="1178"/>
      <c r="AV29" s="1178"/>
      <c r="AW29" s="1178"/>
      <c r="AX29" s="1178"/>
      <c r="AY29" s="1178"/>
      <c r="AZ29" s="1178"/>
      <c r="BA29" s="57"/>
    </row>
    <row r="30" spans="1:60" ht="14.25" hidden="1" customHeight="1">
      <c r="Q30" s="167"/>
      <c r="R30" s="27"/>
      <c r="S30" s="764"/>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4"/>
      <c r="M31" s="79"/>
      <c r="N31" s="79"/>
      <c r="O31" s="79"/>
      <c r="P31" s="79"/>
      <c r="Q31" s="79"/>
      <c r="S31" s="1278" t="s">
        <v>40</v>
      </c>
      <c r="T31" s="1278"/>
      <c r="U31" s="797"/>
      <c r="V31" s="1280"/>
      <c r="W31" s="1280"/>
      <c r="X31" s="1280"/>
      <c r="Y31" s="1280"/>
      <c r="Z31" s="1280"/>
      <c r="AA31" s="1280"/>
      <c r="AB31" s="1280"/>
      <c r="AC31" s="9"/>
      <c r="AD31" s="1280" t="str">
        <f>IF(TITLE_NAME_OR_PR_CHANGE="",IF(TITLE_NAME_OR_PR="","",TITLE_NAME_OR_PR),TITLE_NAME_OR_PR_CHANGE)</f>
        <v/>
      </c>
      <c r="AE31" s="1280"/>
      <c r="AF31" s="1280"/>
      <c r="AG31" s="1280"/>
      <c r="AH31" s="1280"/>
      <c r="AI31" s="1280"/>
      <c r="AJ31" s="1280"/>
      <c r="AK31" s="1280"/>
      <c r="AL31" s="1280"/>
      <c r="AM31" s="1280"/>
      <c r="AN31" s="1280"/>
      <c r="AO31" s="1280"/>
      <c r="AP31" s="1280"/>
      <c r="AQ31" s="1280"/>
      <c r="AR31" s="1280"/>
      <c r="AS31" s="1280"/>
      <c r="AT31" s="1280"/>
      <c r="AU31" s="1280"/>
      <c r="AV31" s="1280"/>
      <c r="AW31" s="1280"/>
      <c r="AX31" s="1280"/>
      <c r="AY31" s="1280"/>
      <c r="AZ31" s="1280"/>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4"/>
      <c r="M32" s="79"/>
      <c r="N32" s="79"/>
      <c r="O32" s="79"/>
      <c r="P32" s="79"/>
      <c r="Q32" s="79"/>
      <c r="S32" s="1278" t="s">
        <v>494</v>
      </c>
      <c r="T32" s="1278"/>
      <c r="U32" s="797"/>
      <c r="V32" s="1279"/>
      <c r="W32" s="1279"/>
      <c r="X32" s="1279"/>
      <c r="Y32" s="1279"/>
      <c r="Z32" s="1279"/>
      <c r="AA32" s="1279"/>
      <c r="AB32" s="1279"/>
      <c r="AC32" s="9"/>
      <c r="AD32" s="1279" t="str">
        <f>IF(TITLE_DATE_CHANGE_PERIOD="",IF(TITLE_DATE_PR="","",TITLE_DATE_PR),TITLE_DATE_CHANGE_PERIOD)</f>
        <v/>
      </c>
      <c r="AE32" s="1279"/>
      <c r="AF32" s="1279"/>
      <c r="AG32" s="1279"/>
      <c r="AH32" s="1279"/>
      <c r="AI32" s="1279"/>
      <c r="AJ32" s="1279"/>
      <c r="AK32" s="1279"/>
      <c r="AL32" s="1279"/>
      <c r="AM32" s="1279"/>
      <c r="AN32" s="1279"/>
      <c r="AO32" s="1279"/>
      <c r="AP32" s="1279"/>
      <c r="AQ32" s="1279"/>
      <c r="AR32" s="1279"/>
      <c r="AS32" s="1279"/>
      <c r="AT32" s="1279"/>
      <c r="AU32" s="1279"/>
      <c r="AV32" s="1279"/>
      <c r="AW32" s="1279"/>
      <c r="AX32" s="1279"/>
      <c r="AY32" s="1279"/>
      <c r="AZ32" s="1279"/>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4"/>
      <c r="M33" s="79"/>
      <c r="N33" s="79"/>
      <c r="O33" s="79"/>
      <c r="P33" s="79"/>
      <c r="Q33" s="79"/>
      <c r="S33" s="1278" t="s">
        <v>495</v>
      </c>
      <c r="T33" s="1278"/>
      <c r="U33" s="797"/>
      <c r="V33" s="1280"/>
      <c r="W33" s="1280"/>
      <c r="X33" s="1280"/>
      <c r="Y33" s="1280"/>
      <c r="Z33" s="1280"/>
      <c r="AA33" s="1280"/>
      <c r="AB33" s="1280"/>
      <c r="AC33" s="9"/>
      <c r="AD33" s="1280" t="str">
        <f>IF(TITLE_NUMBER_PR_CHANGE="",IF(TITLE_NUMBER_PR="","",TITLE_NUMBER_PR),TITLE_NUMBER_PR_CHANGE)</f>
        <v/>
      </c>
      <c r="AE33" s="1280"/>
      <c r="AF33" s="1280"/>
      <c r="AG33" s="1280"/>
      <c r="AH33" s="1280"/>
      <c r="AI33" s="1280"/>
      <c r="AJ33" s="1280"/>
      <c r="AK33" s="1280"/>
      <c r="AL33" s="1280"/>
      <c r="AM33" s="1280"/>
      <c r="AN33" s="1280"/>
      <c r="AO33" s="1280"/>
      <c r="AP33" s="1280"/>
      <c r="AQ33" s="1280"/>
      <c r="AR33" s="1280"/>
      <c r="AS33" s="1280"/>
      <c r="AT33" s="1280"/>
      <c r="AU33" s="1280"/>
      <c r="AV33" s="1280"/>
      <c r="AW33" s="1280"/>
      <c r="AX33" s="1280"/>
      <c r="AY33" s="1280"/>
      <c r="AZ33" s="1280"/>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4"/>
      <c r="M34" s="79"/>
      <c r="N34" s="79"/>
      <c r="O34" s="79"/>
      <c r="P34" s="79"/>
      <c r="Q34" s="79"/>
      <c r="S34" s="1278" t="s">
        <v>41</v>
      </c>
      <c r="T34" s="1278"/>
      <c r="U34" s="797"/>
      <c r="V34" s="1280"/>
      <c r="W34" s="1280"/>
      <c r="X34" s="1280"/>
      <c r="Y34" s="1280"/>
      <c r="Z34" s="1280"/>
      <c r="AA34" s="1280"/>
      <c r="AB34" s="1280"/>
      <c r="AC34" s="9"/>
      <c r="AD34" s="1280" t="str">
        <f>IF(TITLE_IST_PUB_CHANGE="",IF(TITLE_IST_PUB="","",TITLE_IST_PUB),TITLE_IST_PUB_CHANGE)</f>
        <v/>
      </c>
      <c r="AE34" s="1280"/>
      <c r="AF34" s="1280"/>
      <c r="AG34" s="1280"/>
      <c r="AH34" s="1280"/>
      <c r="AI34" s="1280"/>
      <c r="AJ34" s="1280"/>
      <c r="AK34" s="1280"/>
      <c r="AL34" s="1280"/>
      <c r="AM34" s="1280"/>
      <c r="AN34" s="1280"/>
      <c r="AO34" s="1280"/>
      <c r="AP34" s="1280"/>
      <c r="AQ34" s="1280"/>
      <c r="AR34" s="1280"/>
      <c r="AS34" s="1280"/>
      <c r="AT34" s="1280"/>
      <c r="AU34" s="1280"/>
      <c r="AV34" s="1280"/>
      <c r="AW34" s="1280"/>
      <c r="AX34" s="1280"/>
      <c r="AY34" s="1280"/>
      <c r="AZ34" s="1280"/>
      <c r="BA34" s="9"/>
      <c r="BB34" s="9"/>
      <c r="BC34" s="162"/>
      <c r="BD34" s="66"/>
      <c r="BE34" s="66"/>
      <c r="BF34" s="66"/>
      <c r="BG34" s="66"/>
      <c r="BH34" s="66"/>
    </row>
    <row r="35" spans="1:60" ht="14.25" hidden="1" customHeight="1">
      <c r="Q35" s="167"/>
      <c r="R35" s="27"/>
      <c r="S35" s="764"/>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4"/>
      <c r="M36" s="79"/>
      <c r="N36" s="79"/>
      <c r="O36" s="79"/>
      <c r="P36" s="79"/>
      <c r="Q36" s="79"/>
      <c r="S36" s="1278" t="s">
        <v>494</v>
      </c>
      <c r="T36" s="1278"/>
      <c r="U36" s="797"/>
      <c r="V36" s="1279"/>
      <c r="W36" s="1279"/>
      <c r="X36" s="1279"/>
      <c r="Y36" s="1279"/>
      <c r="Z36" s="1279"/>
      <c r="AA36" s="1279"/>
      <c r="AB36" s="1279"/>
      <c r="AC36" s="9"/>
      <c r="AD36" s="1279" t="str">
        <f>IF(TITLE_DATE_CHANGE_PERIOD="",IF(TITLE_DATE_PR="","",TITLE_DATE_PR),TITLE_DATE_CHANGE_PERIOD)</f>
        <v/>
      </c>
      <c r="AE36" s="1279"/>
      <c r="AF36" s="1279"/>
      <c r="AG36" s="1279"/>
      <c r="AH36" s="1279"/>
      <c r="AI36" s="1279"/>
      <c r="AJ36" s="1279"/>
      <c r="AK36" s="1279"/>
      <c r="AL36" s="1279"/>
      <c r="AM36" s="1279"/>
      <c r="AN36" s="1279"/>
      <c r="AO36" s="1279"/>
      <c r="AP36" s="1279"/>
      <c r="AQ36" s="1279"/>
      <c r="AR36" s="1279"/>
      <c r="AS36" s="1279"/>
      <c r="AT36" s="1279"/>
      <c r="AU36" s="1279"/>
      <c r="AV36" s="1279"/>
      <c r="AW36" s="1279"/>
      <c r="AX36" s="1279"/>
      <c r="AY36" s="1279"/>
      <c r="AZ36" s="1279"/>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4"/>
      <c r="M37" s="79"/>
      <c r="N37" s="79"/>
      <c r="O37" s="79"/>
      <c r="P37" s="79"/>
      <c r="Q37" s="79"/>
      <c r="S37" s="1278" t="s">
        <v>495</v>
      </c>
      <c r="T37" s="1278"/>
      <c r="U37" s="797"/>
      <c r="V37" s="1280"/>
      <c r="W37" s="1280"/>
      <c r="X37" s="1280"/>
      <c r="Y37" s="1280"/>
      <c r="Z37" s="1280"/>
      <c r="AA37" s="1280"/>
      <c r="AB37" s="1280"/>
      <c r="AC37" s="9"/>
      <c r="AD37" s="1280" t="str">
        <f>IF(TITLE_NUMBER_PR_CHANGE="",IF(TITLE_NUMBER_PR="","",TITLE_NUMBER_PR),TITLE_NUMBER_PR_CHANGE)</f>
        <v/>
      </c>
      <c r="AE37" s="1280"/>
      <c r="AF37" s="1280"/>
      <c r="AG37" s="1280"/>
      <c r="AH37" s="1280"/>
      <c r="AI37" s="1280"/>
      <c r="AJ37" s="1280"/>
      <c r="AK37" s="1280"/>
      <c r="AL37" s="1280"/>
      <c r="AM37" s="1280"/>
      <c r="AN37" s="1280"/>
      <c r="AO37" s="1280"/>
      <c r="AP37" s="1280"/>
      <c r="AQ37" s="1280"/>
      <c r="AR37" s="1280"/>
      <c r="AS37" s="1280"/>
      <c r="AT37" s="1280"/>
      <c r="AU37" s="1280"/>
      <c r="AV37" s="1280"/>
      <c r="AW37" s="1280"/>
      <c r="AX37" s="1280"/>
      <c r="AY37" s="1280"/>
      <c r="AZ37" s="1280"/>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4"/>
      <c r="M38" s="79"/>
      <c r="N38" s="79"/>
      <c r="O38" s="79"/>
      <c r="P38" s="79"/>
      <c r="Q38" s="79"/>
      <c r="S38" s="9"/>
      <c r="T38" s="9"/>
      <c r="U38" s="75"/>
      <c r="V38" s="9"/>
      <c r="W38" s="9"/>
      <c r="X38" s="9"/>
      <c r="Y38" s="9"/>
      <c r="Z38" s="9"/>
      <c r="AA38" s="9"/>
      <c r="AB38" s="9"/>
      <c r="AC38" s="65" t="s">
        <v>498</v>
      </c>
      <c r="AD38" s="9"/>
      <c r="AE38" s="9"/>
      <c r="AF38" s="9"/>
      <c r="AG38" s="9"/>
      <c r="AH38" s="9"/>
      <c r="AI38" s="9"/>
      <c r="AJ38" s="9"/>
      <c r="AK38" s="9"/>
      <c r="AL38" s="9"/>
      <c r="AM38" s="9"/>
      <c r="AN38" s="9"/>
      <c r="AO38" s="9"/>
      <c r="AP38" s="9"/>
      <c r="AQ38" s="9"/>
      <c r="AR38" s="9"/>
      <c r="AS38" s="9"/>
      <c r="AT38" s="9"/>
      <c r="AU38" s="9"/>
      <c r="AV38" s="9"/>
      <c r="AW38" s="9"/>
      <c r="AX38" s="9"/>
      <c r="AY38" s="9"/>
      <c r="AZ38" s="9"/>
      <c r="BA38" s="65" t="s">
        <v>498</v>
      </c>
      <c r="BD38" s="66"/>
      <c r="BE38" s="66"/>
      <c r="BF38" s="66"/>
      <c r="BG38" s="66"/>
      <c r="BH38" s="66"/>
    </row>
    <row r="39" spans="1:60" ht="14.25" customHeight="1">
      <c r="Q39" s="167"/>
      <c r="R39" s="27"/>
      <c r="S39" s="764"/>
      <c r="T39" s="8"/>
      <c r="U39" s="736"/>
      <c r="V39" s="1298"/>
      <c r="W39" s="1298"/>
      <c r="X39" s="1298"/>
      <c r="Y39" s="1298"/>
      <c r="Z39" s="1298"/>
      <c r="AA39" s="1298"/>
      <c r="AB39" s="1298"/>
      <c r="AC39" s="1298"/>
      <c r="AD39" s="1298"/>
      <c r="AE39" s="1298"/>
      <c r="AF39" s="1298"/>
      <c r="AG39" s="1298"/>
      <c r="AH39" s="1298"/>
      <c r="AI39" s="1298"/>
      <c r="AJ39" s="1298"/>
      <c r="AK39" s="1298"/>
      <c r="AL39" s="1298"/>
      <c r="AM39" s="1298"/>
      <c r="AN39" s="1298"/>
      <c r="AO39" s="1298"/>
      <c r="AP39" s="1298"/>
      <c r="AQ39" s="1298"/>
      <c r="AR39" s="1298"/>
      <c r="AS39" s="1298"/>
      <c r="AT39" s="1298"/>
      <c r="AU39" s="1298"/>
      <c r="AV39" s="1298"/>
      <c r="AW39" s="1298"/>
      <c r="AX39" s="1298"/>
      <c r="AY39" s="1298"/>
      <c r="AZ39" s="1298"/>
      <c r="BA39" s="1298"/>
    </row>
    <row r="40" spans="1:60" ht="14.25" customHeight="1">
      <c r="Q40" s="167"/>
      <c r="R40" s="27"/>
      <c r="S40" s="1082" t="s">
        <v>302</v>
      </c>
      <c r="T40" s="1082"/>
      <c r="U40" s="1082"/>
      <c r="V40" s="1082"/>
      <c r="W40" s="1082"/>
      <c r="X40" s="1082"/>
      <c r="Y40" s="1082"/>
      <c r="Z40" s="1082"/>
      <c r="AA40" s="1082"/>
      <c r="AB40" s="1082"/>
      <c r="AC40" s="1082"/>
      <c r="AD40" s="1082"/>
      <c r="AE40" s="1082"/>
      <c r="AF40" s="1082"/>
      <c r="AG40" s="1082"/>
      <c r="AH40" s="1082"/>
      <c r="AI40" s="1082"/>
      <c r="AJ40" s="1082"/>
      <c r="AK40" s="1082"/>
      <c r="AL40" s="1082"/>
      <c r="AM40" s="1082"/>
      <c r="AN40" s="1082"/>
      <c r="AO40" s="1082"/>
      <c r="AP40" s="1082"/>
      <c r="AQ40" s="1082"/>
      <c r="AR40" s="1082"/>
      <c r="AS40" s="1082"/>
      <c r="AT40" s="1082"/>
      <c r="AU40" s="1082"/>
      <c r="AV40" s="1082"/>
      <c r="AW40" s="1082"/>
      <c r="AX40" s="1082"/>
      <c r="AY40" s="1082"/>
      <c r="AZ40" s="1082"/>
      <c r="BA40" s="1082"/>
      <c r="BB40" s="1082"/>
      <c r="BC40" s="1082" t="s">
        <v>303</v>
      </c>
    </row>
    <row r="41" spans="1:60" ht="14.25" customHeight="1">
      <c r="Q41" s="167"/>
      <c r="R41" s="27"/>
      <c r="S41" s="1299" t="s">
        <v>88</v>
      </c>
      <c r="T41" s="1176" t="s">
        <v>1711</v>
      </c>
      <c r="U41" s="171"/>
      <c r="V41" s="1300" t="s">
        <v>500</v>
      </c>
      <c r="W41" s="1301"/>
      <c r="X41" s="1301"/>
      <c r="Y41" s="1301"/>
      <c r="Z41" s="1301"/>
      <c r="AA41" s="1301"/>
      <c r="AB41" s="1302"/>
      <c r="AC41" s="1303" t="s">
        <v>501</v>
      </c>
      <c r="AD41" s="1326" t="s">
        <v>1712</v>
      </c>
      <c r="AE41" s="1315"/>
      <c r="AF41" s="1315"/>
      <c r="AG41" s="1327"/>
      <c r="AH41" s="1326" t="s">
        <v>1713</v>
      </c>
      <c r="AI41" s="1315"/>
      <c r="AJ41" s="1315"/>
      <c r="AK41" s="1327"/>
      <c r="AL41" s="1326" t="s">
        <v>1714</v>
      </c>
      <c r="AM41" s="1315"/>
      <c r="AN41" s="1315"/>
      <c r="AO41" s="1327"/>
      <c r="AP41" s="1326" t="s">
        <v>1715</v>
      </c>
      <c r="AQ41" s="1315"/>
      <c r="AR41" s="1315"/>
      <c r="AS41" s="1327"/>
      <c r="AT41" s="1300" t="s">
        <v>500</v>
      </c>
      <c r="AU41" s="1301"/>
      <c r="AV41" s="1301"/>
      <c r="AW41" s="1301"/>
      <c r="AX41" s="1301"/>
      <c r="AY41" s="1301"/>
      <c r="AZ41" s="1302"/>
      <c r="BA41" s="1303" t="s">
        <v>501</v>
      </c>
      <c r="BB41" s="1306" t="s">
        <v>503</v>
      </c>
      <c r="BC41" s="1082"/>
    </row>
    <row r="42" spans="1:60" ht="33.75" customHeight="1">
      <c r="Q42" s="167"/>
      <c r="R42" s="27"/>
      <c r="S42" s="1299"/>
      <c r="T42" s="1176"/>
      <c r="U42" s="621"/>
      <c r="V42" s="1146" t="s">
        <v>1716</v>
      </c>
      <c r="W42" s="1147"/>
      <c r="X42" s="1146" t="s">
        <v>1717</v>
      </c>
      <c r="Y42" s="1147"/>
      <c r="Z42" s="1146" t="s">
        <v>1718</v>
      </c>
      <c r="AA42" s="1320"/>
      <c r="AB42" s="1147"/>
      <c r="AC42" s="1304"/>
      <c r="AD42" s="1328"/>
      <c r="AE42" s="1329"/>
      <c r="AF42" s="1329"/>
      <c r="AG42" s="1341"/>
      <c r="AH42" s="1328"/>
      <c r="AI42" s="1329"/>
      <c r="AJ42" s="1329"/>
      <c r="AK42" s="1341"/>
      <c r="AL42" s="1328"/>
      <c r="AM42" s="1329"/>
      <c r="AN42" s="1329"/>
      <c r="AO42" s="1341"/>
      <c r="AP42" s="1328"/>
      <c r="AQ42" s="1329"/>
      <c r="AR42" s="1329"/>
      <c r="AS42" s="1341"/>
      <c r="AT42" s="1146" t="s">
        <v>1716</v>
      </c>
      <c r="AU42" s="1147"/>
      <c r="AV42" s="1146" t="s">
        <v>1717</v>
      </c>
      <c r="AW42" s="1147"/>
      <c r="AX42" s="1146" t="s">
        <v>1718</v>
      </c>
      <c r="AY42" s="1320"/>
      <c r="AZ42" s="1147"/>
      <c r="BA42" s="1304"/>
      <c r="BB42" s="1307"/>
      <c r="BC42" s="1082"/>
    </row>
    <row r="43" spans="1:60" ht="14.25" customHeight="1">
      <c r="Q43" s="167"/>
      <c r="R43" s="27"/>
      <c r="S43" s="1299"/>
      <c r="T43" s="1176"/>
      <c r="U43" s="621"/>
      <c r="V43" s="1151"/>
      <c r="W43" s="1152"/>
      <c r="X43" s="1151"/>
      <c r="Y43" s="1152"/>
      <c r="Z43" s="1151"/>
      <c r="AA43" s="1321"/>
      <c r="AB43" s="1152"/>
      <c r="AC43" s="1304"/>
      <c r="AD43" s="1328"/>
      <c r="AE43" s="1329"/>
      <c r="AF43" s="1329"/>
      <c r="AG43" s="1341"/>
      <c r="AH43" s="1328"/>
      <c r="AI43" s="1329"/>
      <c r="AJ43" s="1329"/>
      <c r="AK43" s="1341"/>
      <c r="AL43" s="1328"/>
      <c r="AM43" s="1329"/>
      <c r="AN43" s="1329"/>
      <c r="AO43" s="1341"/>
      <c r="AP43" s="1328"/>
      <c r="AQ43" s="1329"/>
      <c r="AR43" s="1329"/>
      <c r="AS43" s="1341"/>
      <c r="AT43" s="1151"/>
      <c r="AU43" s="1152"/>
      <c r="AV43" s="1151"/>
      <c r="AW43" s="1152"/>
      <c r="AX43" s="1151"/>
      <c r="AY43" s="1321"/>
      <c r="AZ43" s="1152"/>
      <c r="BA43" s="1304"/>
      <c r="BB43" s="1307"/>
      <c r="BC43" s="1082"/>
    </row>
    <row r="44" spans="1:60" ht="14.25" customHeight="1">
      <c r="A44" s="79"/>
      <c r="B44" s="79" t="s">
        <v>151</v>
      </c>
      <c r="C44" s="79" t="s">
        <v>152</v>
      </c>
      <c r="D44" s="79" t="s">
        <v>153</v>
      </c>
      <c r="E44" s="794" t="s">
        <v>508</v>
      </c>
      <c r="F44" s="794" t="s">
        <v>509</v>
      </c>
      <c r="G44" s="794" t="s">
        <v>510</v>
      </c>
      <c r="H44" s="794" t="s">
        <v>511</v>
      </c>
      <c r="I44" s="794" t="s">
        <v>512</v>
      </c>
      <c r="J44" s="794" t="s">
        <v>513</v>
      </c>
      <c r="K44" s="794" t="s">
        <v>514</v>
      </c>
      <c r="L44" s="794" t="s">
        <v>489</v>
      </c>
      <c r="Q44" s="167"/>
      <c r="R44" s="27"/>
      <c r="S44" s="1299"/>
      <c r="T44" s="1176"/>
      <c r="U44" s="172"/>
      <c r="V44" s="34" t="s">
        <v>562</v>
      </c>
      <c r="W44" s="34" t="s">
        <v>563</v>
      </c>
      <c r="X44" s="34" t="s">
        <v>562</v>
      </c>
      <c r="Y44" s="34" t="s">
        <v>563</v>
      </c>
      <c r="Z44" s="37" t="s">
        <v>517</v>
      </c>
      <c r="AA44" s="1182" t="s">
        <v>518</v>
      </c>
      <c r="AB44" s="1195"/>
      <c r="AC44" s="1305"/>
      <c r="AD44" s="1330"/>
      <c r="AE44" s="1331"/>
      <c r="AF44" s="1331"/>
      <c r="AG44" s="1332"/>
      <c r="AH44" s="1330"/>
      <c r="AI44" s="1331"/>
      <c r="AJ44" s="1331"/>
      <c r="AK44" s="1332"/>
      <c r="AL44" s="1330"/>
      <c r="AM44" s="1331"/>
      <c r="AN44" s="1331"/>
      <c r="AO44" s="1332"/>
      <c r="AP44" s="1330"/>
      <c r="AQ44" s="1331"/>
      <c r="AR44" s="1331"/>
      <c r="AS44" s="1332"/>
      <c r="AT44" s="34" t="s">
        <v>562</v>
      </c>
      <c r="AU44" s="34" t="s">
        <v>563</v>
      </c>
      <c r="AV44" s="34" t="s">
        <v>562</v>
      </c>
      <c r="AW44" s="34" t="s">
        <v>563</v>
      </c>
      <c r="AX44" s="37" t="s">
        <v>517</v>
      </c>
      <c r="AY44" s="1182" t="s">
        <v>518</v>
      </c>
      <c r="AZ44" s="1195"/>
      <c r="BA44" s="1305"/>
      <c r="BB44" s="1308"/>
      <c r="BC44" s="1082"/>
    </row>
    <row r="45" spans="1:60" s="209" customFormat="1" ht="11.25" hidden="1" customHeight="1">
      <c r="A45" s="79"/>
      <c r="B45" s="79"/>
      <c r="C45" s="79"/>
      <c r="D45" s="79"/>
      <c r="E45" s="79"/>
      <c r="F45" s="79"/>
      <c r="G45" s="79"/>
      <c r="H45" s="79"/>
      <c r="I45" s="79"/>
      <c r="J45" s="79"/>
      <c r="K45" s="79"/>
      <c r="L45" s="794"/>
      <c r="M45" s="519"/>
      <c r="N45" s="519"/>
      <c r="O45" s="519"/>
      <c r="P45" s="228"/>
      <c r="Q45" s="747"/>
      <c r="R45" s="747">
        <v>1</v>
      </c>
      <c r="S45" s="766" t="s">
        <v>119</v>
      </c>
      <c r="T45" s="748" t="s">
        <v>103</v>
      </c>
      <c r="U45" s="737" t="str">
        <f ca="1">OFFSET(U45,0,-1)</f>
        <v>2</v>
      </c>
      <c r="V45" s="749">
        <f t="shared" ref="V45:AA45" ca="1" si="2">OFFSET(V45,0,-1)+1</f>
        <v>3</v>
      </c>
      <c r="W45" s="749">
        <f t="shared" ca="1" si="2"/>
        <v>4</v>
      </c>
      <c r="X45" s="749">
        <f t="shared" ca="1" si="2"/>
        <v>5</v>
      </c>
      <c r="Y45" s="749">
        <f t="shared" ca="1" si="2"/>
        <v>6</v>
      </c>
      <c r="Z45" s="749">
        <f t="shared" ca="1" si="2"/>
        <v>7</v>
      </c>
      <c r="AA45" s="1297">
        <f t="shared" ca="1" si="2"/>
        <v>8</v>
      </c>
      <c r="AB45" s="1297"/>
      <c r="AC45" s="749">
        <f ca="1">OFFSET(AC45,0,-2)+1</f>
        <v>9</v>
      </c>
      <c r="AD45" s="749">
        <f ca="1">OFFSET(AD45,0,-1)+1</f>
        <v>10</v>
      </c>
      <c r="AE45" s="749"/>
      <c r="AF45" s="749"/>
      <c r="AG45" s="749"/>
      <c r="AH45" s="749"/>
      <c r="AI45" s="749"/>
      <c r="AJ45" s="749"/>
      <c r="AK45" s="749"/>
      <c r="AL45" s="749"/>
      <c r="AM45" s="749"/>
      <c r="AN45" s="749"/>
      <c r="AO45" s="749"/>
      <c r="AP45" s="749"/>
      <c r="AQ45" s="749"/>
      <c r="AR45" s="749"/>
      <c r="AS45" s="749"/>
      <c r="AT45" s="749"/>
      <c r="AU45" s="749"/>
      <c r="AV45" s="749"/>
      <c r="AW45" s="749">
        <f ca="1">OFFSET(AW45,0,-1)+1</f>
        <v>1</v>
      </c>
      <c r="AX45" s="749">
        <f ca="1">OFFSET(AX45,0,-1)+1</f>
        <v>2</v>
      </c>
      <c r="AY45" s="1297">
        <f ca="1">OFFSET(AY45,0,-1)+1</f>
        <v>3</v>
      </c>
      <c r="AZ45" s="1297"/>
      <c r="BA45" s="749">
        <f ca="1">OFFSET(BA45,0,-2)+1</f>
        <v>4</v>
      </c>
      <c r="BB45" s="737">
        <f ca="1">OFFSET(BB45,0,-1)</f>
        <v>4</v>
      </c>
      <c r="BC45" s="749">
        <f ca="1">OFFSET(BC45,0,-1)+1</f>
        <v>5</v>
      </c>
      <c r="BD45" s="65"/>
      <c r="BE45" s="65"/>
      <c r="BF45" s="65"/>
      <c r="BG45" s="65"/>
      <c r="BH45" s="65"/>
    </row>
    <row r="46" spans="1:60" ht="21" customHeight="1">
      <c r="A46" s="793" t="s">
        <v>248</v>
      </c>
      <c r="B46" s="793"/>
      <c r="C46" s="793"/>
      <c r="D46" s="793"/>
      <c r="E46" s="1287">
        <v>1</v>
      </c>
      <c r="F46" s="793"/>
      <c r="G46" s="793"/>
      <c r="H46" s="793"/>
      <c r="I46" s="793"/>
      <c r="J46" s="793"/>
      <c r="K46" s="793"/>
      <c r="L46" s="794"/>
      <c r="M46" s="433"/>
      <c r="N46" s="433"/>
      <c r="O46" s="433"/>
      <c r="Q46" s="59"/>
      <c r="R46" s="213"/>
      <c r="S46" s="725">
        <f>INDEX(PT_DIFFERENTIATION_NUM_NTAR,MATCH(A46,PT_DIFFERENTIATION_NTAR_ID,0))</f>
        <v>0</v>
      </c>
      <c r="T46" s="64" t="s">
        <v>139</v>
      </c>
      <c r="U46" s="170"/>
      <c r="V46" s="1282"/>
      <c r="W46" s="1282"/>
      <c r="X46" s="1282"/>
      <c r="Y46" s="1282"/>
      <c r="Z46" s="1282"/>
      <c r="AA46" s="1282"/>
      <c r="AB46" s="1282"/>
      <c r="AC46" s="1283"/>
      <c r="AD46" s="1281" t="str">
        <f>INDEX(PT_DIFFERENTIATION_NTAR,MATCH(A46,PT_DIFFERENTIATION_NTAR_ID,0))</f>
        <v/>
      </c>
      <c r="AE46" s="1282"/>
      <c r="AF46" s="1282"/>
      <c r="AG46" s="1282"/>
      <c r="AH46" s="1282"/>
      <c r="AI46" s="1282"/>
      <c r="AJ46" s="1282"/>
      <c r="AK46" s="1282"/>
      <c r="AL46" s="1282"/>
      <c r="AM46" s="1282"/>
      <c r="AN46" s="1282"/>
      <c r="AO46" s="1282"/>
      <c r="AP46" s="1282"/>
      <c r="AQ46" s="1282"/>
      <c r="AR46" s="1282"/>
      <c r="AS46" s="1282"/>
      <c r="AT46" s="1282"/>
      <c r="AU46" s="1282"/>
      <c r="AV46" s="1282"/>
      <c r="AW46" s="1282"/>
      <c r="AX46" s="1282"/>
      <c r="AY46" s="1282"/>
      <c r="AZ46" s="1282"/>
      <c r="BA46" s="1282"/>
      <c r="BB46" s="1283"/>
      <c r="BC46" s="7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3" t="s">
        <v>248</v>
      </c>
      <c r="B47" s="793" t="s">
        <v>249</v>
      </c>
      <c r="C47" s="793"/>
      <c r="D47" s="793"/>
      <c r="E47" s="1288"/>
      <c r="F47" s="1287">
        <v>1</v>
      </c>
      <c r="G47" s="793"/>
      <c r="H47" s="793"/>
      <c r="I47" s="793"/>
      <c r="J47" s="793"/>
      <c r="K47" s="793"/>
      <c r="L47" s="794"/>
      <c r="M47" s="433"/>
      <c r="N47" s="433"/>
      <c r="O47" s="433"/>
      <c r="P47" s="312"/>
      <c r="Q47" s="826"/>
      <c r="R47" s="211"/>
      <c r="S47" s="725" t="str">
        <f>INDEX(PT_DIFFERENTIATION_NUM_TER,MATCH(B47,PT_DIFFERENTIATION_TER_ID,0))</f>
        <v>.</v>
      </c>
      <c r="T47" s="178" t="s">
        <v>471</v>
      </c>
      <c r="U47" s="170"/>
      <c r="V47" s="1282"/>
      <c r="W47" s="1282"/>
      <c r="X47" s="1282"/>
      <c r="Y47" s="1282"/>
      <c r="Z47" s="1282"/>
      <c r="AA47" s="1282"/>
      <c r="AB47" s="1282"/>
      <c r="AC47" s="1283"/>
      <c r="AD47" s="1281" t="str">
        <f>INDEX(PT_DIFFERENTIATION_TER,MATCH(B47,PT_DIFFERENTIATION_TER_ID,0))</f>
        <v/>
      </c>
      <c r="AE47" s="1282"/>
      <c r="AF47" s="1282"/>
      <c r="AG47" s="1282"/>
      <c r="AH47" s="1282"/>
      <c r="AI47" s="1282"/>
      <c r="AJ47" s="1282"/>
      <c r="AK47" s="1282"/>
      <c r="AL47" s="1282"/>
      <c r="AM47" s="1282"/>
      <c r="AN47" s="1282"/>
      <c r="AO47" s="1282"/>
      <c r="AP47" s="1282"/>
      <c r="AQ47" s="1282"/>
      <c r="AR47" s="1282"/>
      <c r="AS47" s="1282"/>
      <c r="AT47" s="1282"/>
      <c r="AU47" s="1282"/>
      <c r="AV47" s="1282"/>
      <c r="AW47" s="1282"/>
      <c r="AX47" s="1282"/>
      <c r="AY47" s="1282"/>
      <c r="AZ47" s="1282"/>
      <c r="BA47" s="1282"/>
      <c r="BB47" s="1283"/>
      <c r="BC47" s="753" t="s">
        <v>472</v>
      </c>
      <c r="BE47" s="66"/>
      <c r="BF47" s="66" t="str">
        <f t="shared" si="3"/>
        <v>Территория действия тарифа</v>
      </c>
      <c r="BG47" s="66"/>
      <c r="BH47" s="66"/>
    </row>
    <row r="48" spans="1:60" ht="42" customHeight="1">
      <c r="A48" s="793" t="s">
        <v>248</v>
      </c>
      <c r="B48" s="793" t="s">
        <v>249</v>
      </c>
      <c r="C48" s="793" t="s">
        <v>250</v>
      </c>
      <c r="D48" s="793"/>
      <c r="E48" s="1288"/>
      <c r="F48" s="1288"/>
      <c r="G48" s="1287">
        <v>1</v>
      </c>
      <c r="H48" s="793"/>
      <c r="I48" s="793"/>
      <c r="J48" s="793"/>
      <c r="K48" s="793"/>
      <c r="L48" s="794"/>
      <c r="M48" s="433"/>
      <c r="N48" s="433"/>
      <c r="O48" s="433"/>
      <c r="P48" s="128"/>
      <c r="Q48" s="826"/>
      <c r="R48" s="211"/>
      <c r="S48" s="725" t="str">
        <f>INDEX(PT_DIFFERENTIATION_NUM_CS,MATCH(C48,PT_DIFFERENTIATION_CS_ID,0))</f>
        <v>..</v>
      </c>
      <c r="T48" s="179" t="s">
        <v>1685</v>
      </c>
      <c r="U48" s="170"/>
      <c r="V48" s="1282"/>
      <c r="W48" s="1282"/>
      <c r="X48" s="1282"/>
      <c r="Y48" s="1282"/>
      <c r="Z48" s="1282"/>
      <c r="AA48" s="1282"/>
      <c r="AB48" s="1282"/>
      <c r="AC48" s="1283"/>
      <c r="AD48" s="1281" t="str">
        <f>INDEX(PT_DIFFERENTIATION_CS,MATCH(C48,PT_DIFFERENTIATION_CS_ID,0))</f>
        <v/>
      </c>
      <c r="AE48" s="1282"/>
      <c r="AF48" s="1282"/>
      <c r="AG48" s="1282"/>
      <c r="AH48" s="1282"/>
      <c r="AI48" s="1282"/>
      <c r="AJ48" s="1282"/>
      <c r="AK48" s="1282"/>
      <c r="AL48" s="1282"/>
      <c r="AM48" s="1282"/>
      <c r="AN48" s="1282"/>
      <c r="AO48" s="1282"/>
      <c r="AP48" s="1282"/>
      <c r="AQ48" s="1282"/>
      <c r="AR48" s="1282"/>
      <c r="AS48" s="1282"/>
      <c r="AT48" s="1282"/>
      <c r="AU48" s="1282"/>
      <c r="AV48" s="1282"/>
      <c r="AW48" s="1282"/>
      <c r="AX48" s="1282"/>
      <c r="AY48" s="1282"/>
      <c r="AZ48" s="1282"/>
      <c r="BA48" s="1282"/>
      <c r="BB48" s="1283"/>
      <c r="BC48" s="753" t="s">
        <v>1686</v>
      </c>
      <c r="BE48" s="66"/>
      <c r="BF48" s="66" t="str">
        <f t="shared" si="3"/>
        <v>Наименование централизованной системы холодного водоснабжения</v>
      </c>
      <c r="BG48" s="66"/>
      <c r="BH48" s="66"/>
    </row>
    <row r="49" spans="1:60" s="65" customFormat="1" ht="0" hidden="1" customHeight="1">
      <c r="A49" s="142" t="s">
        <v>248</v>
      </c>
      <c r="B49" s="142" t="s">
        <v>249</v>
      </c>
      <c r="C49" s="142" t="s">
        <v>250</v>
      </c>
      <c r="D49" s="142" t="s">
        <v>1719</v>
      </c>
      <c r="E49" s="1288"/>
      <c r="F49" s="1288"/>
      <c r="G49" s="1288"/>
      <c r="H49" s="1287">
        <v>1</v>
      </c>
      <c r="I49" s="142"/>
      <c r="J49" s="142"/>
      <c r="K49" s="142"/>
      <c r="L49" s="355"/>
      <c r="M49" s="304"/>
      <c r="N49" s="304"/>
      <c r="O49" s="304"/>
      <c r="P49" s="844"/>
      <c r="Q49" s="845"/>
      <c r="R49" s="215"/>
      <c r="S49" s="371"/>
      <c r="T49" s="846"/>
      <c r="U49" s="804"/>
      <c r="V49" s="1317"/>
      <c r="W49" s="1317"/>
      <c r="X49" s="1317"/>
      <c r="Y49" s="1317"/>
      <c r="Z49" s="1317"/>
      <c r="AA49" s="1317"/>
      <c r="AB49" s="1317"/>
      <c r="AC49" s="1318"/>
      <c r="AD49" s="1316"/>
      <c r="AE49" s="1317"/>
      <c r="AF49" s="1317"/>
      <c r="AG49" s="1317"/>
      <c r="AH49" s="1317"/>
      <c r="AI49" s="1317"/>
      <c r="AJ49" s="1317"/>
      <c r="AK49" s="1317"/>
      <c r="AL49" s="1317"/>
      <c r="AM49" s="1317"/>
      <c r="AN49" s="1317"/>
      <c r="AO49" s="1317"/>
      <c r="AP49" s="1317"/>
      <c r="AQ49" s="1317"/>
      <c r="AR49" s="1317"/>
      <c r="AS49" s="1317"/>
      <c r="AT49" s="1317"/>
      <c r="AU49" s="1317"/>
      <c r="AV49" s="1317"/>
      <c r="AW49" s="1317"/>
      <c r="AX49" s="1317"/>
      <c r="AY49" s="1317"/>
      <c r="AZ49" s="1317"/>
      <c r="BA49" s="1317"/>
      <c r="BB49" s="1318"/>
      <c r="BC49" s="805" t="s">
        <v>476</v>
      </c>
      <c r="BE49" s="66"/>
      <c r="BF49" s="66" t="str">
        <f t="shared" si="3"/>
        <v/>
      </c>
      <c r="BG49" s="66"/>
      <c r="BH49" s="66"/>
    </row>
    <row r="50" spans="1:60" s="65" customFormat="1" ht="0" hidden="1" customHeight="1">
      <c r="A50" s="142" t="s">
        <v>248</v>
      </c>
      <c r="B50" s="142" t="s">
        <v>249</v>
      </c>
      <c r="C50" s="142" t="s">
        <v>250</v>
      </c>
      <c r="D50" s="142" t="s">
        <v>1719</v>
      </c>
      <c r="E50" s="1288"/>
      <c r="F50" s="1288"/>
      <c r="G50" s="1288"/>
      <c r="H50" s="1288"/>
      <c r="I50" s="1289" t="str">
        <f>S49&amp;".1"</f>
        <v>.1</v>
      </c>
      <c r="J50" s="142"/>
      <c r="K50" s="142"/>
      <c r="L50" s="355" t="s">
        <v>477</v>
      </c>
      <c r="M50" s="228"/>
      <c r="N50" s="228"/>
      <c r="O50" s="228"/>
      <c r="P50" s="1211">
        <v>1</v>
      </c>
      <c r="Q50" s="119"/>
      <c r="R50" s="214"/>
      <c r="S50" s="371"/>
      <c r="T50" s="803"/>
      <c r="U50" s="804"/>
      <c r="V50" s="1317"/>
      <c r="W50" s="1317"/>
      <c r="X50" s="1317"/>
      <c r="Y50" s="1317"/>
      <c r="Z50" s="1317"/>
      <c r="AA50" s="1317"/>
      <c r="AB50" s="1317"/>
      <c r="AC50" s="1318"/>
      <c r="AD50" s="1316"/>
      <c r="AE50" s="1317"/>
      <c r="AF50" s="1317"/>
      <c r="AG50" s="1317"/>
      <c r="AH50" s="1317"/>
      <c r="AI50" s="1317"/>
      <c r="AJ50" s="1317"/>
      <c r="AK50" s="1317"/>
      <c r="AL50" s="1317"/>
      <c r="AM50" s="1317"/>
      <c r="AN50" s="1317"/>
      <c r="AO50" s="1317"/>
      <c r="AP50" s="1317"/>
      <c r="AQ50" s="1317"/>
      <c r="AR50" s="1317"/>
      <c r="AS50" s="1317"/>
      <c r="AT50" s="1317"/>
      <c r="AU50" s="1317"/>
      <c r="AV50" s="1317"/>
      <c r="AW50" s="1317"/>
      <c r="AX50" s="1317"/>
      <c r="AY50" s="1317"/>
      <c r="AZ50" s="1317"/>
      <c r="BA50" s="1317"/>
      <c r="BB50" s="1318"/>
      <c r="BC50" s="805"/>
      <c r="BE50" s="66"/>
      <c r="BF50" s="66" t="str">
        <f t="shared" si="3"/>
        <v/>
      </c>
      <c r="BG50" s="66"/>
      <c r="BH50" s="66"/>
    </row>
    <row r="51" spans="1:60" s="65" customFormat="1" ht="0" hidden="1" customHeight="1">
      <c r="A51" s="142" t="s">
        <v>248</v>
      </c>
      <c r="B51" s="142" t="s">
        <v>249</v>
      </c>
      <c r="C51" s="142" t="s">
        <v>250</v>
      </c>
      <c r="D51" s="142" t="s">
        <v>1719</v>
      </c>
      <c r="E51" s="1288"/>
      <c r="F51" s="1288"/>
      <c r="G51" s="1288"/>
      <c r="H51" s="1288"/>
      <c r="I51" s="1290"/>
      <c r="J51" s="1289" t="str">
        <f>S49&amp;".1"</f>
        <v>.1</v>
      </c>
      <c r="K51" s="142"/>
      <c r="L51" s="355"/>
      <c r="M51" s="228"/>
      <c r="N51" s="228"/>
      <c r="O51" s="228"/>
      <c r="P51" s="1211"/>
      <c r="Q51" s="1211">
        <v>1</v>
      </c>
      <c r="R51" s="215"/>
      <c r="S51" s="371"/>
      <c r="T51" s="818"/>
      <c r="U51" s="804"/>
      <c r="V51" s="1317"/>
      <c r="W51" s="1317"/>
      <c r="X51" s="1317"/>
      <c r="Y51" s="1317"/>
      <c r="Z51" s="1317"/>
      <c r="AA51" s="1317"/>
      <c r="AB51" s="1317"/>
      <c r="AC51" s="1318"/>
      <c r="AD51" s="1316"/>
      <c r="AE51" s="1317"/>
      <c r="AF51" s="1317"/>
      <c r="AG51" s="1317"/>
      <c r="AH51" s="1317"/>
      <c r="AI51" s="1317"/>
      <c r="AJ51" s="1317"/>
      <c r="AK51" s="1317"/>
      <c r="AL51" s="1317"/>
      <c r="AM51" s="1317"/>
      <c r="AN51" s="1402"/>
      <c r="AO51" s="1402"/>
      <c r="AP51" s="1317"/>
      <c r="AQ51" s="1317"/>
      <c r="AR51" s="1317"/>
      <c r="AS51" s="1317"/>
      <c r="AT51" s="1317"/>
      <c r="AU51" s="1317"/>
      <c r="AV51" s="1317"/>
      <c r="AW51" s="1317"/>
      <c r="AX51" s="1317"/>
      <c r="AY51" s="1317"/>
      <c r="AZ51" s="1317"/>
      <c r="BA51" s="1317"/>
      <c r="BB51" s="1318"/>
      <c r="BC51" s="805"/>
      <c r="BE51" s="66"/>
      <c r="BF51" s="66" t="str">
        <f t="shared" si="3"/>
        <v/>
      </c>
      <c r="BG51" s="66"/>
      <c r="BH51" s="66"/>
    </row>
    <row r="52" spans="1:60" ht="11.25" customHeight="1">
      <c r="A52" s="793" t="s">
        <v>248</v>
      </c>
      <c r="B52" s="793" t="s">
        <v>249</v>
      </c>
      <c r="C52" s="793" t="s">
        <v>250</v>
      </c>
      <c r="D52" s="793" t="s">
        <v>1719</v>
      </c>
      <c r="E52" s="1288"/>
      <c r="F52" s="1288"/>
      <c r="G52" s="1288"/>
      <c r="H52" s="1288"/>
      <c r="I52" s="1290"/>
      <c r="J52" s="1290"/>
      <c r="K52" s="1289" t="str">
        <f>S48&amp;".1"</f>
        <v>...1</v>
      </c>
      <c r="L52" s="794"/>
      <c r="P52" s="1211"/>
      <c r="Q52" s="1211"/>
      <c r="R52" s="215">
        <v>1</v>
      </c>
      <c r="S52" s="1337" t="str">
        <f>$K52</f>
        <v>...1</v>
      </c>
      <c r="T52" s="1396"/>
      <c r="U52" s="170"/>
      <c r="V52" s="317"/>
      <c r="W52" s="752"/>
      <c r="X52" s="317"/>
      <c r="Y52" s="752"/>
      <c r="Z52" s="974"/>
      <c r="AA52" s="308" t="s">
        <v>59</v>
      </c>
      <c r="AB52" s="974"/>
      <c r="AC52" s="308" t="s">
        <v>59</v>
      </c>
      <c r="AD52" s="1158" t="s">
        <v>59</v>
      </c>
      <c r="AE52" s="1333"/>
      <c r="AF52" s="1171">
        <v>1</v>
      </c>
      <c r="AG52" s="1395"/>
      <c r="AH52" s="1092" t="s">
        <v>59</v>
      </c>
      <c r="AI52" s="1333"/>
      <c r="AJ52" s="1171">
        <v>1</v>
      </c>
      <c r="AK52" s="1394" t="s">
        <v>18</v>
      </c>
      <c r="AL52" s="1092" t="s">
        <v>59</v>
      </c>
      <c r="AM52" s="1146"/>
      <c r="AN52" s="1171">
        <v>1</v>
      </c>
      <c r="AO52" s="1399"/>
      <c r="AP52" s="1400" t="s">
        <v>59</v>
      </c>
      <c r="AQ52" s="181"/>
      <c r="AR52" s="280">
        <v>1</v>
      </c>
      <c r="AS52" s="116" t="s">
        <v>18</v>
      </c>
      <c r="AT52" s="317"/>
      <c r="AU52" s="752"/>
      <c r="AV52" s="317"/>
      <c r="AW52" s="752"/>
      <c r="AX52" s="974"/>
      <c r="AY52" s="308" t="s">
        <v>59</v>
      </c>
      <c r="AZ52" s="974"/>
      <c r="BA52" s="308" t="s">
        <v>59</v>
      </c>
      <c r="BB52" s="790"/>
      <c r="BC52" s="1309" t="s">
        <v>1705</v>
      </c>
      <c r="BE52" s="66"/>
      <c r="BF52" s="66" t="str">
        <f t="shared" si="3"/>
        <v/>
      </c>
      <c r="BG52" s="66"/>
      <c r="BH52" s="66"/>
    </row>
    <row r="53" spans="1:60" ht="11.25" customHeight="1">
      <c r="A53" s="793"/>
      <c r="B53" s="793"/>
      <c r="C53" s="793"/>
      <c r="D53" s="793"/>
      <c r="E53" s="1288"/>
      <c r="F53" s="1288"/>
      <c r="G53" s="1288"/>
      <c r="H53" s="1288"/>
      <c r="I53" s="1290"/>
      <c r="J53" s="1290"/>
      <c r="K53" s="1289"/>
      <c r="L53" s="794"/>
      <c r="P53" s="1211"/>
      <c r="Q53" s="1211"/>
      <c r="R53" s="215"/>
      <c r="S53" s="1338"/>
      <c r="T53" s="1397"/>
      <c r="U53" s="170"/>
      <c r="V53" s="813"/>
      <c r="W53" s="843"/>
      <c r="X53" s="813"/>
      <c r="Y53" s="843"/>
      <c r="Z53" s="813"/>
      <c r="AA53" s="813"/>
      <c r="AB53" s="813"/>
      <c r="AC53" s="813"/>
      <c r="AD53" s="1159"/>
      <c r="AE53" s="1333"/>
      <c r="AF53" s="1171"/>
      <c r="AG53" s="1395"/>
      <c r="AH53" s="1092"/>
      <c r="AI53" s="1333"/>
      <c r="AJ53" s="1171"/>
      <c r="AK53" s="1394"/>
      <c r="AL53" s="1092"/>
      <c r="AM53" s="1151"/>
      <c r="AN53" s="1171"/>
      <c r="AO53" s="1399"/>
      <c r="AP53" s="1401"/>
      <c r="AQ53" s="186"/>
      <c r="AR53" s="50"/>
      <c r="AS53" s="50" t="s">
        <v>1706</v>
      </c>
      <c r="AT53" s="813"/>
      <c r="AU53" s="843"/>
      <c r="AV53" s="813"/>
      <c r="AW53" s="843"/>
      <c r="AX53" s="813"/>
      <c r="AY53" s="813"/>
      <c r="AZ53" s="813"/>
      <c r="BA53" s="813"/>
      <c r="BB53" s="817"/>
      <c r="BC53" s="1310"/>
      <c r="BE53" s="66"/>
      <c r="BF53" s="66"/>
      <c r="BG53" s="66"/>
      <c r="BH53" s="66"/>
    </row>
    <row r="54" spans="1:60" ht="11.25" customHeight="1">
      <c r="A54" s="793" t="s">
        <v>248</v>
      </c>
      <c r="B54" s="793"/>
      <c r="C54" s="793"/>
      <c r="D54" s="793"/>
      <c r="E54" s="1288"/>
      <c r="F54" s="1288"/>
      <c r="G54" s="1288"/>
      <c r="H54" s="1288"/>
      <c r="I54" s="1290"/>
      <c r="J54" s="1290"/>
      <c r="K54" s="1289"/>
      <c r="L54" s="794"/>
      <c r="P54" s="1211"/>
      <c r="Q54" s="1211"/>
      <c r="R54" s="215"/>
      <c r="S54" s="1338"/>
      <c r="T54" s="1397"/>
      <c r="U54" s="170"/>
      <c r="V54" s="813"/>
      <c r="W54" s="843"/>
      <c r="X54" s="813"/>
      <c r="Y54" s="843"/>
      <c r="Z54" s="813"/>
      <c r="AA54" s="813"/>
      <c r="AB54" s="813"/>
      <c r="AC54" s="813"/>
      <c r="AD54" s="1159"/>
      <c r="AE54" s="1333"/>
      <c r="AF54" s="1171"/>
      <c r="AG54" s="1395"/>
      <c r="AH54" s="1092"/>
      <c r="AI54" s="1333"/>
      <c r="AJ54" s="1171"/>
      <c r="AK54" s="1394"/>
      <c r="AL54" s="1092"/>
      <c r="AM54" s="186"/>
      <c r="AN54" s="847"/>
      <c r="AO54" s="847" t="s">
        <v>1707</v>
      </c>
      <c r="AP54" s="50"/>
      <c r="AQ54" s="50"/>
      <c r="AR54" s="50"/>
      <c r="AS54" s="813"/>
      <c r="AT54" s="813"/>
      <c r="AU54" s="843"/>
      <c r="AV54" s="813"/>
      <c r="AW54" s="843"/>
      <c r="AX54" s="813"/>
      <c r="AY54" s="813"/>
      <c r="AZ54" s="813"/>
      <c r="BA54" s="813"/>
      <c r="BB54" s="817"/>
      <c r="BC54" s="1310"/>
      <c r="BE54" s="66"/>
      <c r="BF54" s="66"/>
      <c r="BG54" s="66"/>
      <c r="BH54" s="66"/>
    </row>
    <row r="55" spans="1:60" ht="11.25" customHeight="1">
      <c r="A55" s="793" t="s">
        <v>248</v>
      </c>
      <c r="B55" s="793"/>
      <c r="C55" s="793"/>
      <c r="D55" s="793"/>
      <c r="E55" s="1288"/>
      <c r="F55" s="1288"/>
      <c r="G55" s="1288"/>
      <c r="H55" s="1288"/>
      <c r="I55" s="1290"/>
      <c r="J55" s="1290"/>
      <c r="K55" s="1289"/>
      <c r="L55" s="794"/>
      <c r="P55" s="1211"/>
      <c r="Q55" s="1211"/>
      <c r="R55" s="215"/>
      <c r="S55" s="1338"/>
      <c r="T55" s="1397"/>
      <c r="U55" s="170"/>
      <c r="V55" s="813"/>
      <c r="W55" s="843"/>
      <c r="X55" s="813"/>
      <c r="Y55" s="843"/>
      <c r="Z55" s="813"/>
      <c r="AA55" s="813"/>
      <c r="AB55" s="813"/>
      <c r="AC55" s="813"/>
      <c r="AD55" s="1159"/>
      <c r="AE55" s="1333"/>
      <c r="AF55" s="1171"/>
      <c r="AG55" s="1395"/>
      <c r="AH55" s="1092"/>
      <c r="AI55" s="168"/>
      <c r="AJ55" s="107"/>
      <c r="AK55" s="183" t="s">
        <v>1708</v>
      </c>
      <c r="AL55" s="813"/>
      <c r="AM55" s="813"/>
      <c r="AN55" s="813"/>
      <c r="AO55" s="813"/>
      <c r="AP55" s="813"/>
      <c r="AQ55" s="813"/>
      <c r="AR55" s="813"/>
      <c r="AS55" s="813"/>
      <c r="AT55" s="813"/>
      <c r="AU55" s="843"/>
      <c r="AV55" s="813"/>
      <c r="AW55" s="843"/>
      <c r="AX55" s="813"/>
      <c r="AY55" s="813"/>
      <c r="AZ55" s="813"/>
      <c r="BA55" s="813"/>
      <c r="BB55" s="817"/>
      <c r="BC55" s="1310"/>
      <c r="BE55" s="66"/>
      <c r="BF55" s="66"/>
      <c r="BG55" s="66"/>
      <c r="BH55" s="66"/>
    </row>
    <row r="56" spans="1:60" ht="11.25" customHeight="1">
      <c r="A56" s="793" t="s">
        <v>248</v>
      </c>
      <c r="B56" s="793" t="s">
        <v>249</v>
      </c>
      <c r="C56" s="793" t="s">
        <v>250</v>
      </c>
      <c r="D56" s="793" t="s">
        <v>1719</v>
      </c>
      <c r="E56" s="1288"/>
      <c r="F56" s="1288"/>
      <c r="G56" s="1288"/>
      <c r="H56" s="1288"/>
      <c r="I56" s="1290"/>
      <c r="J56" s="1290"/>
      <c r="K56" s="1289"/>
      <c r="L56" s="794"/>
      <c r="P56" s="1211"/>
      <c r="Q56" s="1211"/>
      <c r="R56" s="215"/>
      <c r="S56" s="1339"/>
      <c r="T56" s="1398"/>
      <c r="U56" s="170"/>
      <c r="V56" s="813"/>
      <c r="W56" s="814" t="str">
        <f>Z52&amp;"-"&amp;AB52</f>
        <v>-</v>
      </c>
      <c r="X56" s="813"/>
      <c r="Y56" s="814" t="str">
        <f>AB52&amp;"-"&amp;AD52</f>
        <v>-да</v>
      </c>
      <c r="Z56" s="813"/>
      <c r="AA56" s="813"/>
      <c r="AB56" s="813"/>
      <c r="AC56" s="813"/>
      <c r="AD56" s="1098"/>
      <c r="AE56" s="182"/>
      <c r="AF56" s="184"/>
      <c r="AG56" s="50" t="s">
        <v>1709</v>
      </c>
      <c r="AH56" s="813"/>
      <c r="AI56" s="813"/>
      <c r="AJ56" s="813"/>
      <c r="AK56" s="813"/>
      <c r="AL56" s="813"/>
      <c r="AM56" s="813"/>
      <c r="AN56" s="813"/>
      <c r="AO56" s="813"/>
      <c r="AP56" s="813"/>
      <c r="AQ56" s="813"/>
      <c r="AR56" s="813"/>
      <c r="AS56" s="813"/>
      <c r="AT56" s="813"/>
      <c r="AU56" s="814" t="str">
        <f>AX52&amp;"-"&amp;AZ52</f>
        <v>-</v>
      </c>
      <c r="AV56" s="813"/>
      <c r="AW56" s="814" t="str">
        <f>AZ52&amp;"-"&amp;BB52</f>
        <v>-</v>
      </c>
      <c r="AX56" s="813"/>
      <c r="AY56" s="813"/>
      <c r="AZ56" s="813"/>
      <c r="BA56" s="813"/>
      <c r="BB56" s="816" t="str">
        <f>BE52&amp;"-"&amp;BG52</f>
        <v>-</v>
      </c>
      <c r="BC56" s="1310"/>
      <c r="BE56" s="66"/>
      <c r="BF56" s="66" t="str">
        <f t="shared" ref="BF56:BF63" si="4">IF(T56="","",T56)</f>
        <v/>
      </c>
      <c r="BG56" s="66"/>
      <c r="BH56" s="66"/>
    </row>
    <row r="57" spans="1:60" ht="11.25" customHeight="1">
      <c r="A57" s="793" t="s">
        <v>248</v>
      </c>
      <c r="B57" s="793" t="s">
        <v>249</v>
      </c>
      <c r="C57" s="793" t="s">
        <v>250</v>
      </c>
      <c r="D57" s="793" t="s">
        <v>1719</v>
      </c>
      <c r="E57" s="1288"/>
      <c r="F57" s="1288"/>
      <c r="G57" s="1288"/>
      <c r="H57" s="1288"/>
      <c r="I57" s="1290"/>
      <c r="J57" s="1289"/>
      <c r="K57" s="793"/>
      <c r="L57" s="794"/>
      <c r="P57" s="1211"/>
      <c r="Q57" s="1211"/>
      <c r="R57" s="214"/>
      <c r="S57" s="767"/>
      <c r="T57" s="165" t="s">
        <v>551</v>
      </c>
      <c r="U57" s="221"/>
      <c r="V57" s="221"/>
      <c r="W57" s="221"/>
      <c r="X57" s="221"/>
      <c r="Y57" s="221"/>
      <c r="Z57" s="221"/>
      <c r="AA57" s="221"/>
      <c r="AB57" s="221"/>
      <c r="AC57" s="195"/>
      <c r="AD57" s="85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311"/>
      <c r="BE57" s="66"/>
      <c r="BF57" s="66" t="str">
        <f t="shared" si="4"/>
        <v>Добавить строку</v>
      </c>
      <c r="BG57" s="66"/>
      <c r="BH57" s="66"/>
    </row>
    <row r="58" spans="1:60" s="65" customFormat="1" ht="0" hidden="1" customHeight="1">
      <c r="A58" s="142" t="s">
        <v>248</v>
      </c>
      <c r="B58" s="142" t="s">
        <v>249</v>
      </c>
      <c r="C58" s="142" t="s">
        <v>250</v>
      </c>
      <c r="D58" s="142" t="s">
        <v>1719</v>
      </c>
      <c r="E58" s="1288"/>
      <c r="F58" s="1288"/>
      <c r="G58" s="1288"/>
      <c r="H58" s="1288"/>
      <c r="I58" s="1289"/>
      <c r="J58" s="142"/>
      <c r="K58" s="142"/>
      <c r="L58" s="355"/>
      <c r="M58" s="228"/>
      <c r="N58" s="228"/>
      <c r="O58" s="228"/>
      <c r="P58" s="1211"/>
      <c r="Q58" s="119"/>
      <c r="R58" s="214"/>
      <c r="S58" s="806"/>
      <c r="T58" s="807"/>
      <c r="U58" s="808"/>
      <c r="V58" s="808"/>
      <c r="W58" s="808"/>
      <c r="X58" s="808"/>
      <c r="Y58" s="808"/>
      <c r="Z58" s="808"/>
      <c r="AA58" s="808"/>
      <c r="AB58" s="808"/>
      <c r="AC58" s="808"/>
      <c r="AD58" s="808"/>
      <c r="AE58" s="808"/>
      <c r="AF58" s="808"/>
      <c r="AG58" s="808"/>
      <c r="AH58" s="808"/>
      <c r="AI58" s="808"/>
      <c r="AJ58" s="808"/>
      <c r="AK58" s="808"/>
      <c r="AL58" s="808"/>
      <c r="AM58" s="808"/>
      <c r="AN58" s="808"/>
      <c r="AO58" s="808"/>
      <c r="AP58" s="808"/>
      <c r="AQ58" s="808"/>
      <c r="AR58" s="808"/>
      <c r="AS58" s="808"/>
      <c r="AT58" s="808"/>
      <c r="AU58" s="808"/>
      <c r="AV58" s="808"/>
      <c r="AW58" s="808"/>
      <c r="AX58" s="808"/>
      <c r="AY58" s="808"/>
      <c r="AZ58" s="808"/>
      <c r="BA58" s="808"/>
      <c r="BB58" s="808"/>
      <c r="BC58" s="809"/>
      <c r="BE58" s="66"/>
      <c r="BF58" s="66" t="str">
        <f t="shared" si="4"/>
        <v/>
      </c>
      <c r="BG58" s="66"/>
      <c r="BH58" s="66"/>
    </row>
    <row r="59" spans="1:60" s="65" customFormat="1" ht="0" hidden="1" customHeight="1">
      <c r="A59" s="142" t="s">
        <v>248</v>
      </c>
      <c r="B59" s="142" t="s">
        <v>249</v>
      </c>
      <c r="C59" s="142" t="s">
        <v>250</v>
      </c>
      <c r="D59" s="142" t="s">
        <v>1719</v>
      </c>
      <c r="E59" s="1288"/>
      <c r="F59" s="1288"/>
      <c r="G59" s="1288"/>
      <c r="H59" s="1287"/>
      <c r="I59" s="142"/>
      <c r="J59" s="142"/>
      <c r="K59" s="142"/>
      <c r="L59" s="355"/>
      <c r="M59" s="304"/>
      <c r="N59" s="304"/>
      <c r="P59" s="101"/>
      <c r="Q59" s="780"/>
      <c r="R59" s="820"/>
      <c r="S59" s="806"/>
      <c r="T59" s="807"/>
      <c r="U59" s="808"/>
      <c r="V59" s="808"/>
      <c r="W59" s="808"/>
      <c r="X59" s="808"/>
      <c r="Y59" s="808"/>
      <c r="Z59" s="808"/>
      <c r="AA59" s="808"/>
      <c r="AB59" s="808"/>
      <c r="AC59" s="808"/>
      <c r="AD59" s="808"/>
      <c r="AE59" s="808"/>
      <c r="AF59" s="808"/>
      <c r="AG59" s="808"/>
      <c r="AH59" s="808"/>
      <c r="AI59" s="808"/>
      <c r="AJ59" s="808"/>
      <c r="AK59" s="808"/>
      <c r="AL59" s="808"/>
      <c r="AM59" s="808"/>
      <c r="AN59" s="808"/>
      <c r="AO59" s="808"/>
      <c r="AP59" s="808"/>
      <c r="AQ59" s="808"/>
      <c r="AR59" s="808"/>
      <c r="AS59" s="808"/>
      <c r="AT59" s="808"/>
      <c r="AU59" s="808"/>
      <c r="AV59" s="808"/>
      <c r="AW59" s="808"/>
      <c r="AX59" s="808"/>
      <c r="AY59" s="808"/>
      <c r="AZ59" s="808"/>
      <c r="BA59" s="808"/>
      <c r="BB59" s="808"/>
      <c r="BC59" s="809"/>
      <c r="BE59" s="66"/>
      <c r="BF59" s="66" t="str">
        <f t="shared" si="4"/>
        <v/>
      </c>
      <c r="BG59" s="66"/>
      <c r="BH59" s="66"/>
    </row>
    <row r="60" spans="1:60" s="65" customFormat="1" ht="0" hidden="1" customHeight="1">
      <c r="A60" s="142" t="s">
        <v>248</v>
      </c>
      <c r="B60" s="142" t="s">
        <v>249</v>
      </c>
      <c r="C60" s="142" t="s">
        <v>250</v>
      </c>
      <c r="D60" s="142"/>
      <c r="E60" s="1288"/>
      <c r="F60" s="1288"/>
      <c r="G60" s="1287"/>
      <c r="H60" s="142"/>
      <c r="I60" s="142"/>
      <c r="J60" s="142"/>
      <c r="K60" s="142"/>
      <c r="L60" s="355"/>
      <c r="M60" s="304"/>
      <c r="N60" s="304"/>
      <c r="P60" s="101"/>
      <c r="Q60" s="780"/>
      <c r="R60" s="101"/>
      <c r="S60" s="785"/>
      <c r="T60" s="787"/>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23"/>
      <c r="BB60" s="323"/>
      <c r="BC60" s="323"/>
      <c r="BE60" s="66"/>
      <c r="BF60" s="66" t="str">
        <f t="shared" si="4"/>
        <v/>
      </c>
      <c r="BG60" s="66"/>
      <c r="BH60" s="66"/>
    </row>
    <row r="61" spans="1:60" s="65" customFormat="1" ht="0" hidden="1" customHeight="1">
      <c r="A61" s="142" t="s">
        <v>248</v>
      </c>
      <c r="B61" s="142" t="s">
        <v>249</v>
      </c>
      <c r="C61" s="142"/>
      <c r="D61" s="142"/>
      <c r="E61" s="1288"/>
      <c r="F61" s="1287"/>
      <c r="G61" s="142"/>
      <c r="H61" s="142"/>
      <c r="I61" s="142"/>
      <c r="J61" s="142"/>
      <c r="K61" s="142"/>
      <c r="L61" s="355"/>
      <c r="M61" s="784"/>
      <c r="N61" s="784"/>
      <c r="P61" s="101"/>
      <c r="Q61" s="780"/>
      <c r="R61" s="101"/>
      <c r="S61" s="785"/>
      <c r="T61" s="787" t="s">
        <v>445</v>
      </c>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c r="BA61" s="323"/>
      <c r="BB61" s="323"/>
      <c r="BC61" s="323"/>
      <c r="BE61" s="66"/>
      <c r="BF61" s="66" t="str">
        <f t="shared" si="4"/>
        <v>Добавить централизованную систему для дифференциации</v>
      </c>
      <c r="BG61" s="66"/>
      <c r="BH61" s="66"/>
    </row>
    <row r="62" spans="1:60" s="65" customFormat="1" ht="0" hidden="1" customHeight="1">
      <c r="A62" s="142" t="s">
        <v>248</v>
      </c>
      <c r="B62" s="142"/>
      <c r="C62" s="142"/>
      <c r="D62" s="142"/>
      <c r="E62" s="1287"/>
      <c r="F62" s="142"/>
      <c r="G62" s="142"/>
      <c r="H62" s="142"/>
      <c r="I62" s="142"/>
      <c r="J62" s="142"/>
      <c r="K62" s="142"/>
      <c r="L62" s="355"/>
      <c r="M62" s="784"/>
      <c r="N62" s="784"/>
      <c r="P62" s="101"/>
      <c r="Q62" s="780"/>
      <c r="R62" s="101"/>
      <c r="S62" s="785"/>
      <c r="T62" s="787" t="s">
        <v>446</v>
      </c>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4"/>
      <c r="N63" s="784"/>
      <c r="P63" s="101"/>
      <c r="Q63" s="780"/>
      <c r="R63" s="101"/>
      <c r="S63" s="785"/>
      <c r="T63" s="787" t="s">
        <v>447</v>
      </c>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E63" s="66"/>
      <c r="BF63" s="66" t="str">
        <f t="shared" si="4"/>
        <v>Добавить наименование тарифа</v>
      </c>
      <c r="BG63" s="66"/>
      <c r="BH63" s="66"/>
    </row>
    <row r="64" spans="1:60" ht="11.25" hidden="1" customHeight="1">
      <c r="M64" s="60"/>
      <c r="N64" s="60"/>
      <c r="O64" s="60"/>
      <c r="P64" s="60"/>
      <c r="Q64" s="60"/>
      <c r="R64" s="9"/>
      <c r="S64" s="9"/>
      <c r="BD64" s="9"/>
      <c r="BE64" s="9"/>
      <c r="BF64" s="9"/>
      <c r="BG64" s="9"/>
      <c r="BH64" s="9"/>
    </row>
    <row r="65" spans="15:55" ht="18.75" hidden="1" customHeight="1">
      <c r="O65" s="60"/>
      <c r="S65" s="204" t="s">
        <v>519</v>
      </c>
      <c r="T65" s="1286" t="s">
        <v>1720</v>
      </c>
      <c r="U65" s="1286"/>
      <c r="V65" s="1286"/>
      <c r="W65" s="1286"/>
      <c r="X65" s="1286"/>
      <c r="Y65" s="1286"/>
      <c r="Z65" s="1286"/>
      <c r="AA65" s="1286"/>
      <c r="AB65" s="1286"/>
      <c r="AC65" s="1286"/>
      <c r="AD65" s="1286"/>
      <c r="AE65" s="1286"/>
      <c r="AF65" s="1286"/>
      <c r="AG65" s="1286"/>
      <c r="AH65" s="1286"/>
      <c r="AI65" s="1286"/>
      <c r="AJ65" s="1286"/>
      <c r="AK65" s="1286"/>
      <c r="AL65" s="1286"/>
      <c r="AM65" s="1286"/>
      <c r="AN65" s="1286"/>
      <c r="AO65" s="1286"/>
      <c r="AP65" s="1286"/>
      <c r="AQ65" s="1286"/>
      <c r="AR65" s="1286"/>
      <c r="AS65" s="1286"/>
      <c r="AT65" s="1286"/>
      <c r="AU65" s="1286"/>
      <c r="AV65" s="1286"/>
      <c r="AW65" s="1286"/>
      <c r="AX65" s="1286"/>
      <c r="AY65" s="1286"/>
      <c r="AZ65" s="1286"/>
      <c r="BA65" s="1286"/>
      <c r="BB65" s="1286"/>
      <c r="BC65" s="1286"/>
    </row>
    <row r="66" spans="15:55" ht="14.25" hidden="1"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hidden="1" customHeight="1">
      <c r="O67" s="60"/>
      <c r="S67" s="204" t="s">
        <v>519</v>
      </c>
      <c r="T67" s="1286" t="s">
        <v>1721</v>
      </c>
      <c r="U67" s="1286"/>
      <c r="V67" s="1286"/>
      <c r="W67" s="1286"/>
      <c r="X67" s="1286"/>
      <c r="Y67" s="1286"/>
      <c r="Z67" s="1286"/>
      <c r="AA67" s="1286"/>
      <c r="AB67" s="1286"/>
      <c r="AC67" s="1286"/>
      <c r="AD67" s="1286"/>
      <c r="AE67" s="1286"/>
      <c r="AF67" s="1286"/>
      <c r="AG67" s="1286"/>
      <c r="AH67" s="1286"/>
      <c r="AI67" s="1286"/>
      <c r="AJ67" s="1286"/>
      <c r="AK67" s="1286"/>
      <c r="AL67" s="1286"/>
      <c r="AM67" s="1286"/>
      <c r="AN67" s="1286"/>
      <c r="AO67" s="1286"/>
      <c r="AP67" s="1286"/>
      <c r="AQ67" s="1286"/>
      <c r="AR67" s="1286"/>
      <c r="AS67" s="1286"/>
      <c r="AT67" s="1286"/>
      <c r="AU67" s="1286"/>
      <c r="AV67" s="1286"/>
      <c r="AW67" s="1286"/>
      <c r="AX67" s="1286"/>
      <c r="AY67" s="1286"/>
      <c r="AZ67" s="1286"/>
      <c r="BA67" s="1286"/>
      <c r="BB67" s="1286"/>
      <c r="BC67" s="1286"/>
    </row>
    <row r="68" spans="15:55" ht="14.25" customHeight="1">
      <c r="O68" s="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2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2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2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2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2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2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2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2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2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40D71-B661-90DB-BA1C-AB4C3024DB23}">
  <sheetPr>
    <tabColor theme="9" tint="-0.249977111117893"/>
  </sheetPr>
  <dimension ref="A1:AJ302"/>
  <sheetViews>
    <sheetView showGridLines="0" topLeftCell="D20" zoomScale="90" workbookViewId="0">
      <selection activeCell="N1" sqref="N1:N1048576"/>
    </sheetView>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14" width="40.7109375" style="9" customWidth="1"/>
    <col min="15" max="15" width="40.7109375" style="9" hidden="1" customWidth="1"/>
    <col min="16" max="16" width="9.7109375" style="60" customWidth="1"/>
    <col min="17" max="17" width="5.28515625" style="65" customWidth="1"/>
    <col min="18" max="18" width="3.7109375" style="65" customWidth="1"/>
    <col min="19" max="22" width="3.7109375" style="60" customWidth="1"/>
    <col min="23" max="23" width="10.5703125" style="65" customWidth="1"/>
    <col min="24" max="24" width="34.7109375" style="60" customWidth="1"/>
    <col min="25" max="25" width="9.42578125" style="60" customWidth="1"/>
    <col min="26" max="26" width="9.140625" style="319"/>
    <col min="27" max="31" width="9.140625" style="60"/>
    <col min="32" max="36" width="9.140625" style="6"/>
  </cols>
  <sheetData>
    <row r="1" spans="1:36" ht="11.25" hidden="1" customHeight="1"/>
    <row r="2" spans="1:36" ht="23.25" hidden="1" customHeight="1">
      <c r="B2" s="1066"/>
      <c r="C2" s="323" t="s">
        <v>1722</v>
      </c>
      <c r="D2" s="53"/>
      <c r="E2" s="321">
        <f>B2</f>
        <v>0</v>
      </c>
      <c r="F2" s="322"/>
      <c r="G2" s="39" t="s">
        <v>439</v>
      </c>
      <c r="H2" s="39" t="s">
        <v>439</v>
      </c>
      <c r="I2" s="39" t="s">
        <v>439</v>
      </c>
      <c r="J2" s="39" t="s">
        <v>439</v>
      </c>
      <c r="K2" s="39" t="s">
        <v>439</v>
      </c>
      <c r="L2" s="39" t="s">
        <v>439</v>
      </c>
      <c r="M2" s="39" t="s">
        <v>439</v>
      </c>
      <c r="N2" s="39" t="s">
        <v>439</v>
      </c>
      <c r="O2" s="39" t="s">
        <v>439</v>
      </c>
      <c r="P2" s="318"/>
    </row>
    <row r="3" spans="1:36" s="65" customFormat="1" ht="0.75" hidden="1" customHeight="1">
      <c r="B3" s="1066"/>
      <c r="C3" s="323"/>
      <c r="D3" s="323"/>
      <c r="E3" s="324"/>
      <c r="F3" s="325" t="s">
        <v>1723</v>
      </c>
      <c r="G3" s="326"/>
      <c r="H3" s="326">
        <f>H4*H5+H7</f>
        <v>0</v>
      </c>
      <c r="I3" s="326">
        <f>I4*I5+I6</f>
        <v>0</v>
      </c>
      <c r="J3" s="326">
        <f t="shared" ref="J3:O3" si="0">J4*J5+J7</f>
        <v>0</v>
      </c>
      <c r="K3" s="326">
        <f t="shared" si="0"/>
        <v>0</v>
      </c>
      <c r="L3" s="326">
        <f t="shared" si="0"/>
        <v>0</v>
      </c>
      <c r="M3" s="326">
        <f t="shared" si="0"/>
        <v>0</v>
      </c>
      <c r="N3" s="326">
        <f t="shared" si="0"/>
        <v>0</v>
      </c>
      <c r="O3" s="326">
        <f t="shared" si="0"/>
        <v>0</v>
      </c>
    </row>
    <row r="4" spans="1:36" ht="23.25" hidden="1" customHeight="1">
      <c r="B4" s="1066"/>
      <c r="C4" s="323"/>
      <c r="D4" s="53"/>
      <c r="E4" s="321" t="str">
        <f>B2&amp;".1"</f>
        <v>.1</v>
      </c>
      <c r="F4" s="328" t="s">
        <v>1724</v>
      </c>
      <c r="G4" s="329"/>
      <c r="H4" s="317"/>
      <c r="I4" s="317"/>
      <c r="J4" s="317"/>
      <c r="K4" s="317"/>
      <c r="L4" s="317"/>
      <c r="M4" s="317"/>
      <c r="N4" s="317"/>
      <c r="O4" s="317"/>
      <c r="P4" s="318"/>
    </row>
    <row r="5" spans="1:36" ht="18.75" hidden="1" customHeight="1">
      <c r="B5" s="1066"/>
      <c r="C5" s="323"/>
      <c r="D5" s="53"/>
      <c r="E5" s="321" t="str">
        <f>B2&amp;".2"</f>
        <v>.2</v>
      </c>
      <c r="F5" s="328" t="s">
        <v>1725</v>
      </c>
      <c r="G5" s="39" t="s">
        <v>1726</v>
      </c>
      <c r="H5" s="317"/>
      <c r="I5" s="317"/>
      <c r="J5" s="317"/>
      <c r="K5" s="317"/>
      <c r="L5" s="317"/>
      <c r="M5" s="317"/>
      <c r="N5" s="317"/>
      <c r="O5" s="317"/>
      <c r="P5" s="318"/>
    </row>
    <row r="6" spans="1:36" ht="18.75" hidden="1" customHeight="1">
      <c r="B6" s="1066"/>
      <c r="C6" s="323"/>
      <c r="D6" s="53"/>
      <c r="E6" s="321" t="str">
        <f>B2&amp;".3"</f>
        <v>.3</v>
      </c>
      <c r="F6" s="328" t="s">
        <v>1727</v>
      </c>
      <c r="G6" s="39" t="s">
        <v>1726</v>
      </c>
      <c r="H6" s="317"/>
      <c r="I6" s="317"/>
      <c r="J6" s="317"/>
      <c r="K6" s="317"/>
      <c r="L6" s="317"/>
      <c r="M6" s="317"/>
      <c r="N6" s="317"/>
      <c r="O6" s="317"/>
      <c r="P6" s="318"/>
    </row>
    <row r="7" spans="1:36" ht="18.75" hidden="1" customHeight="1">
      <c r="B7" s="1066"/>
      <c r="C7" s="323"/>
      <c r="D7" s="53"/>
      <c r="E7" s="321" t="str">
        <f>B2&amp;".4"</f>
        <v>.4</v>
      </c>
      <c r="F7" s="328" t="s">
        <v>1728</v>
      </c>
      <c r="G7" s="39" t="s">
        <v>439</v>
      </c>
      <c r="H7" s="330"/>
      <c r="I7" s="330"/>
      <c r="J7" s="330"/>
      <c r="K7" s="330"/>
      <c r="L7" s="330"/>
      <c r="M7" s="330"/>
      <c r="N7" s="330"/>
      <c r="O7" s="330"/>
      <c r="P7" s="318"/>
    </row>
    <row r="8" spans="1:36" s="60" customFormat="1" ht="11.25" hidden="1" customHeight="1">
      <c r="A8" s="588"/>
      <c r="C8" s="65"/>
      <c r="H8" s="60">
        <v>4</v>
      </c>
      <c r="I8" s="60">
        <v>4</v>
      </c>
      <c r="J8" s="60">
        <v>4</v>
      </c>
      <c r="K8" s="60">
        <v>4</v>
      </c>
      <c r="L8" s="60">
        <v>4</v>
      </c>
      <c r="M8" s="60">
        <v>4</v>
      </c>
      <c r="N8" s="60">
        <v>4</v>
      </c>
      <c r="O8" s="60">
        <v>4</v>
      </c>
      <c r="Q8" s="65"/>
      <c r="R8" s="65"/>
      <c r="W8" s="65"/>
    </row>
    <row r="9" spans="1:36" s="60" customFormat="1" ht="22.5" hidden="1" customHeight="1">
      <c r="A9" s="588"/>
      <c r="C9" s="65"/>
      <c r="D9" s="315"/>
      <c r="E9" s="39"/>
      <c r="F9" s="316"/>
      <c r="G9" s="39" t="s">
        <v>1726</v>
      </c>
      <c r="H9" s="317"/>
      <c r="I9" s="317"/>
      <c r="J9" s="317"/>
      <c r="K9" s="317"/>
      <c r="L9" s="317"/>
      <c r="M9" s="317"/>
      <c r="N9" s="317"/>
      <c r="O9" s="317"/>
      <c r="P9" s="318"/>
      <c r="Q9" s="65"/>
      <c r="R9" s="65"/>
      <c r="W9" s="65"/>
      <c r="Z9" s="319"/>
      <c r="AF9" s="6"/>
      <c r="AG9" s="6"/>
      <c r="AH9" s="6"/>
      <c r="AI9" s="6"/>
      <c r="AJ9" s="6"/>
    </row>
    <row r="10" spans="1:36" ht="11.25" hidden="1" customHeight="1"/>
    <row r="11" spans="1:36" ht="18.75" hidden="1" customHeight="1">
      <c r="D11" s="53"/>
      <c r="E11" s="321"/>
      <c r="F11" s="316"/>
      <c r="G11" s="39" t="s">
        <v>642</v>
      </c>
      <c r="H11" s="317"/>
      <c r="I11" s="317"/>
      <c r="J11" s="317"/>
      <c r="K11" s="317"/>
      <c r="L11" s="317"/>
      <c r="M11" s="317"/>
      <c r="N11" s="317"/>
      <c r="O11" s="317"/>
      <c r="P11" s="318"/>
    </row>
    <row r="12" spans="1:36" ht="11.25" hidden="1" customHeight="1"/>
    <row r="13" spans="1:36" ht="22.5" hidden="1" customHeight="1">
      <c r="D13" s="53"/>
      <c r="E13" s="321"/>
      <c r="F13" s="316"/>
      <c r="G13" s="403" t="s">
        <v>1641</v>
      </c>
      <c r="H13" s="320"/>
      <c r="I13" s="320"/>
      <c r="J13" s="320"/>
      <c r="K13" s="320"/>
      <c r="L13" s="320"/>
      <c r="M13" s="320"/>
      <c r="N13" s="320"/>
      <c r="O13" s="320"/>
      <c r="P13" s="318"/>
    </row>
    <row r="14" spans="1:36" ht="11.25" hidden="1" customHeight="1"/>
    <row r="15" spans="1:36" ht="22.5" hidden="1" customHeight="1">
      <c r="D15" s="53"/>
      <c r="E15" s="321"/>
      <c r="F15" s="316"/>
      <c r="G15" s="39" t="s">
        <v>1729</v>
      </c>
      <c r="H15" s="320"/>
      <c r="I15" s="320"/>
      <c r="J15" s="320"/>
      <c r="K15" s="320"/>
      <c r="L15" s="320"/>
      <c r="M15" s="320"/>
      <c r="N15" s="320"/>
      <c r="O15" s="320"/>
      <c r="P15" s="318"/>
    </row>
    <row r="16" spans="1:36" ht="11.25" hidden="1" customHeight="1"/>
    <row r="17" spans="1:31" ht="22.5" hidden="1" customHeight="1">
      <c r="D17" s="53"/>
      <c r="E17" s="321"/>
      <c r="F17" s="316"/>
      <c r="G17" s="39" t="s">
        <v>1730</v>
      </c>
      <c r="H17" s="320"/>
      <c r="I17" s="320"/>
      <c r="J17" s="320"/>
      <c r="K17" s="320"/>
      <c r="L17" s="320"/>
      <c r="M17" s="320"/>
      <c r="N17" s="320"/>
      <c r="O17" s="320"/>
      <c r="P17" s="318"/>
    </row>
    <row r="18" spans="1:31" ht="11.25" hidden="1" customHeight="1"/>
    <row r="19" spans="1:31" s="6" customFormat="1" ht="11.25" hidden="1" customHeight="1">
      <c r="A19" s="588"/>
      <c r="B19" s="60"/>
      <c r="C19" s="65"/>
      <c r="P19" s="60"/>
      <c r="Q19" s="65"/>
      <c r="R19" s="65"/>
      <c r="S19" s="60"/>
      <c r="T19" s="60"/>
      <c r="U19" s="60"/>
      <c r="V19" s="60"/>
      <c r="W19" s="65"/>
      <c r="X19" s="60"/>
      <c r="Y19" s="60"/>
      <c r="Z19" s="319"/>
      <c r="AA19" s="60"/>
      <c r="AB19" s="60"/>
      <c r="AC19" s="60"/>
      <c r="AD19" s="60"/>
      <c r="AE19" s="60"/>
    </row>
    <row r="21" spans="1:31" ht="24" customHeight="1">
      <c r="E21" s="1075"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1076"/>
      <c r="G21" s="1076"/>
      <c r="H21" s="1076"/>
      <c r="I21" s="1077"/>
      <c r="J21" s="923"/>
      <c r="K21" s="923"/>
      <c r="L21" s="923"/>
      <c r="M21" s="923"/>
      <c r="N21" s="923"/>
      <c r="O21" s="923"/>
    </row>
    <row r="22" spans="1:31" ht="24" customHeight="1">
      <c r="E22" s="1191" t="str">
        <f>IF(org=0,"Не определено",org)</f>
        <v>ООО "Концессионная Коммунальная Компания"</v>
      </c>
      <c r="F22" s="1192"/>
      <c r="G22" s="1192"/>
      <c r="H22" s="1192"/>
      <c r="I22" s="1193"/>
      <c r="J22" s="1041"/>
      <c r="K22" s="1041"/>
      <c r="L22" s="1041"/>
      <c r="M22" s="1041"/>
      <c r="N22" s="1041"/>
      <c r="O22" s="1041"/>
    </row>
    <row r="23" spans="1:31" ht="11.25" customHeight="1">
      <c r="E23" s="681"/>
      <c r="F23" s="681"/>
      <c r="G23" s="681"/>
      <c r="H23" s="681"/>
      <c r="I23" s="681"/>
      <c r="J23" s="681"/>
      <c r="K23" s="681"/>
      <c r="L23" s="681"/>
      <c r="M23" s="681"/>
      <c r="N23" s="681"/>
      <c r="O23" s="681"/>
    </row>
    <row r="24" spans="1:31" s="65" customFormat="1" ht="0.75" customHeight="1">
      <c r="A24" s="323"/>
      <c r="H24" s="528"/>
      <c r="I24" s="528" t="s">
        <v>126</v>
      </c>
      <c r="J24" s="528" t="s">
        <v>133</v>
      </c>
      <c r="K24" s="528" t="s">
        <v>130</v>
      </c>
      <c r="L24" s="528" t="s">
        <v>131</v>
      </c>
      <c r="M24" s="528" t="s">
        <v>135</v>
      </c>
      <c r="N24" s="528" t="s">
        <v>136</v>
      </c>
      <c r="O24" s="528"/>
    </row>
    <row r="25" spans="1:31" ht="11.25" customHeight="1">
      <c r="E25" s="416"/>
      <c r="F25" s="1375" t="s">
        <v>115</v>
      </c>
      <c r="G25" s="1376"/>
      <c r="H25" s="889" t="str">
        <f t="shared" ref="H25:O25" si="1">IF(H24="","",INDEX(DIFFERENTIATION_UNMERGE_VD,MATCH(H24,DIFFERENTIATION_ID_DIFF,0)))</f>
        <v/>
      </c>
      <c r="I25" s="889" t="str">
        <f t="shared" si="1"/>
        <v>Холодное водоснабжение. Питьевая вода</v>
      </c>
      <c r="J25" s="889" t="str">
        <f t="shared" si="1"/>
        <v>Холодное водоснабжение. Техническая вода</v>
      </c>
      <c r="K25" s="889" t="str">
        <f t="shared" si="1"/>
        <v>Холодное водоснабжение. Питьевая вода</v>
      </c>
      <c r="L25" s="889" t="str">
        <f t="shared" si="1"/>
        <v>Холодное водоснабжение. Питьевая вода</v>
      </c>
      <c r="M25" s="889" t="str">
        <f t="shared" si="1"/>
        <v>Холодное водоснабжение. Техническая вода</v>
      </c>
      <c r="N25" s="889" t="str">
        <f t="shared" si="1"/>
        <v>Холодное водоснабжение. Техническая вода</v>
      </c>
      <c r="O25" s="889" t="str">
        <f t="shared" si="1"/>
        <v/>
      </c>
    </row>
    <row r="26" spans="1:31" ht="11.25" customHeight="1">
      <c r="E26" s="416"/>
      <c r="F26" s="1375" t="s">
        <v>427</v>
      </c>
      <c r="G26" s="1376"/>
      <c r="H26" s="889" t="str">
        <f t="shared" ref="H26:O26" si="2">IF(H24="","",INDEX(DIFFERENTIATION_UNMERGE_AREA,MATCH(H24,DIFFERENTIATION_ID_DIFF,0)))</f>
        <v/>
      </c>
      <c r="I26" s="889" t="str">
        <f t="shared" si="2"/>
        <v>Территория 1</v>
      </c>
      <c r="J26" s="889" t="str">
        <f t="shared" si="2"/>
        <v>Территория 1</v>
      </c>
      <c r="K26" s="889" t="str">
        <f t="shared" si="2"/>
        <v>Территория 2</v>
      </c>
      <c r="L26" s="889" t="str">
        <f t="shared" si="2"/>
        <v>Территория 3</v>
      </c>
      <c r="M26" s="889" t="str">
        <f t="shared" si="2"/>
        <v>Территория 2</v>
      </c>
      <c r="N26" s="889" t="str">
        <f t="shared" si="2"/>
        <v>Территория 3</v>
      </c>
      <c r="O26" s="889" t="str">
        <f t="shared" si="2"/>
        <v/>
      </c>
    </row>
    <row r="27" spans="1:31" ht="11.25" customHeight="1">
      <c r="E27" s="416"/>
      <c r="F27" s="1375" t="s">
        <v>428</v>
      </c>
      <c r="G27" s="1376"/>
      <c r="H27" s="889" t="str">
        <f t="shared" ref="H27:O27" si="3">IF(H24="","",INDEX(DIFFERENTIATION_UNMERGE_SYSTEM,MATCH(H24,DIFFERENTIATION_ID_DIFF,0)))</f>
        <v/>
      </c>
      <c r="I27" s="889" t="str">
        <f t="shared" si="3"/>
        <v>без дифференциации</v>
      </c>
      <c r="J27" s="889" t="str">
        <f t="shared" si="3"/>
        <v>без дифференциации</v>
      </c>
      <c r="K27" s="889" t="str">
        <f t="shared" si="3"/>
        <v>без дифференциации</v>
      </c>
      <c r="L27" s="889" t="str">
        <f t="shared" si="3"/>
        <v>без дифференциации</v>
      </c>
      <c r="M27" s="889" t="str">
        <f t="shared" si="3"/>
        <v>без дифференциации</v>
      </c>
      <c r="N27" s="889" t="str">
        <f t="shared" si="3"/>
        <v>без дифференциации</v>
      </c>
      <c r="O27" s="889" t="str">
        <f t="shared" si="3"/>
        <v/>
      </c>
    </row>
    <row r="28" spans="1:31" ht="11.25" customHeight="1">
      <c r="E28" s="1377" t="s">
        <v>302</v>
      </c>
      <c r="F28" s="1378"/>
      <c r="G28" s="1378"/>
      <c r="H28" s="526"/>
      <c r="I28" s="526"/>
      <c r="J28" s="526"/>
      <c r="K28" s="526"/>
      <c r="L28" s="526"/>
      <c r="M28" s="526"/>
      <c r="N28" s="526"/>
      <c r="O28" s="526"/>
    </row>
    <row r="29" spans="1:31" ht="22.5" customHeight="1">
      <c r="E29" s="39" t="s">
        <v>88</v>
      </c>
      <c r="F29" s="39" t="s">
        <v>304</v>
      </c>
      <c r="G29" s="39" t="s">
        <v>1623</v>
      </c>
      <c r="H29" s="39" t="s">
        <v>305</v>
      </c>
      <c r="I29" s="39" t="s">
        <v>305</v>
      </c>
      <c r="J29" s="39" t="s">
        <v>305</v>
      </c>
      <c r="K29" s="39" t="s">
        <v>305</v>
      </c>
      <c r="L29" s="39" t="s">
        <v>305</v>
      </c>
      <c r="M29" s="39" t="s">
        <v>305</v>
      </c>
      <c r="N29" s="39" t="s">
        <v>305</v>
      </c>
      <c r="O29" s="39" t="s">
        <v>305</v>
      </c>
    </row>
    <row r="30" spans="1:31" ht="18.75" customHeight="1">
      <c r="D30" s="53"/>
      <c r="E30" s="321">
        <f>FHD_NUM_P_1</f>
        <v>1</v>
      </c>
      <c r="F30" s="150" t="str">
        <f>FHD_P_1</f>
        <v>Выручка от регулируемых видов деятельности в сфере холодного водоснабжения</v>
      </c>
      <c r="G30" s="39" t="s">
        <v>1726</v>
      </c>
      <c r="H30" s="331"/>
      <c r="I30" s="331"/>
      <c r="J30" s="331"/>
      <c r="K30" s="331"/>
      <c r="L30" s="331"/>
      <c r="M30" s="331"/>
      <c r="N30" s="331"/>
      <c r="O30" s="331"/>
      <c r="P30" s="318"/>
    </row>
    <row r="31" spans="1:31" ht="11.25" customHeight="1">
      <c r="D31" s="53"/>
      <c r="E31" s="321">
        <f>FHD_NUM_P_2</f>
        <v>2</v>
      </c>
      <c r="F31" s="150" t="str">
        <f>FHD_P_2</f>
        <v>Себестоимость производимых товаров (оказываемых услуг) по регулируемым видам деятельности в сфере холодного водоснабжения, включая:</v>
      </c>
      <c r="G31" s="39" t="s">
        <v>1726</v>
      </c>
      <c r="H31" s="332">
        <f t="shared" ref="H31:O31" si="4">SUMIF($P33:$P71,$P31,H33:H71)</f>
        <v>0</v>
      </c>
      <c r="I31" s="332">
        <f t="shared" si="4"/>
        <v>0</v>
      </c>
      <c r="J31" s="332">
        <f t="shared" si="4"/>
        <v>0</v>
      </c>
      <c r="K31" s="332">
        <f t="shared" si="4"/>
        <v>0</v>
      </c>
      <c r="L31" s="332">
        <f t="shared" si="4"/>
        <v>0</v>
      </c>
      <c r="M31" s="332">
        <f t="shared" si="4"/>
        <v>0</v>
      </c>
      <c r="N31" s="332">
        <f t="shared" si="4"/>
        <v>0</v>
      </c>
      <c r="O31" s="332">
        <f t="shared" si="4"/>
        <v>0</v>
      </c>
      <c r="P31" s="65" t="s">
        <v>1731</v>
      </c>
    </row>
    <row r="32" spans="1:31" ht="11.25" customHeight="1">
      <c r="D32" s="53"/>
      <c r="E32" s="321" t="str">
        <f>FHD_NUM_P_3</f>
        <v>2.1</v>
      </c>
      <c r="F32" s="333" t="str">
        <f>FHD_P_3</f>
        <v>Расходы на оплату холодной воды, приобретаемой у других организаций для последующей подачи потребителям</v>
      </c>
      <c r="G32" s="39" t="s">
        <v>1726</v>
      </c>
      <c r="H32" s="331"/>
      <c r="I32" s="331"/>
      <c r="J32" s="331"/>
      <c r="K32" s="331"/>
      <c r="L32" s="331"/>
      <c r="M32" s="331"/>
      <c r="N32" s="331"/>
      <c r="O32" s="331"/>
      <c r="P32" s="65" t="str">
        <f t="shared" ref="P32:P70" si="5">IF((LEN(E32)-LEN(SUBSTITUTE(E32,".","")))/LEN(".")=1,"p","")</f>
        <v>p</v>
      </c>
    </row>
    <row r="33" spans="1:36" ht="11.25" hidden="1" customHeight="1">
      <c r="A33" s="1403" t="s">
        <v>1732</v>
      </c>
      <c r="D33" s="53"/>
      <c r="E33" s="321" t="str">
        <f>FHD_NUM_P_4</f>
        <v/>
      </c>
      <c r="F33" s="333" t="str">
        <f>FHD_P_4</f>
        <v/>
      </c>
      <c r="G33" s="39" t="s">
        <v>1726</v>
      </c>
      <c r="H33" s="332">
        <f t="shared" ref="H33:O33" si="6">SUMIF($F34:$F40,$F3,H34:H40)</f>
        <v>0</v>
      </c>
      <c r="I33" s="332">
        <f t="shared" si="6"/>
        <v>0</v>
      </c>
      <c r="J33" s="332">
        <f t="shared" si="6"/>
        <v>0</v>
      </c>
      <c r="K33" s="332">
        <f t="shared" si="6"/>
        <v>0</v>
      </c>
      <c r="L33" s="332">
        <f t="shared" si="6"/>
        <v>0</v>
      </c>
      <c r="M33" s="332">
        <f t="shared" si="6"/>
        <v>0</v>
      </c>
      <c r="N33" s="332">
        <f t="shared" si="6"/>
        <v>0</v>
      </c>
      <c r="O33" s="332">
        <f t="shared" si="6"/>
        <v>0</v>
      </c>
      <c r="P33" s="65" t="str">
        <f t="shared" si="5"/>
        <v/>
      </c>
    </row>
    <row r="34" spans="1:36" s="209" customFormat="1" ht="0.75" hidden="1" customHeight="1">
      <c r="A34" s="1403"/>
      <c r="B34" s="1404" t="str">
        <f>E33&amp;".0"</f>
        <v>.0</v>
      </c>
      <c r="C34" s="323"/>
      <c r="D34" s="334"/>
      <c r="E34" s="335"/>
      <c r="F34" s="336"/>
      <c r="G34" s="337"/>
      <c r="H34" s="297"/>
      <c r="I34" s="297"/>
      <c r="J34" s="297"/>
      <c r="K34" s="297"/>
      <c r="L34" s="297"/>
      <c r="M34" s="297"/>
      <c r="N34" s="297"/>
      <c r="O34" s="297"/>
      <c r="P34" s="65" t="str">
        <f t="shared" si="5"/>
        <v/>
      </c>
      <c r="Q34" s="65"/>
      <c r="R34" s="65"/>
      <c r="S34" s="65"/>
      <c r="T34" s="65"/>
      <c r="U34" s="65"/>
      <c r="V34" s="65"/>
      <c r="W34" s="65"/>
      <c r="X34" s="65"/>
      <c r="Y34" s="65"/>
      <c r="Z34" s="338"/>
      <c r="AA34" s="65"/>
      <c r="AB34" s="65"/>
      <c r="AC34" s="65"/>
      <c r="AD34" s="65"/>
      <c r="AE34" s="65"/>
      <c r="AF34" s="139"/>
      <c r="AG34" s="139"/>
      <c r="AH34" s="139"/>
      <c r="AI34" s="139"/>
      <c r="AJ34" s="139"/>
    </row>
    <row r="35" spans="1:36" s="209" customFormat="1" ht="0.75" hidden="1" customHeight="1">
      <c r="A35" s="1403"/>
      <c r="B35" s="1404"/>
      <c r="C35" s="323"/>
      <c r="D35" s="334"/>
      <c r="E35" s="339"/>
      <c r="F35" s="340"/>
      <c r="G35" s="337"/>
      <c r="H35" s="341"/>
      <c r="I35" s="341"/>
      <c r="J35" s="341"/>
      <c r="K35" s="341"/>
      <c r="L35" s="341"/>
      <c r="M35" s="341"/>
      <c r="N35" s="341"/>
      <c r="O35" s="341"/>
      <c r="P35" s="65" t="str">
        <f t="shared" si="5"/>
        <v/>
      </c>
      <c r="Q35" s="65"/>
      <c r="R35" s="65"/>
      <c r="S35" s="65"/>
      <c r="T35" s="65"/>
      <c r="U35" s="65"/>
      <c r="V35" s="65"/>
      <c r="W35" s="65"/>
      <c r="X35" s="65"/>
      <c r="Y35" s="65"/>
      <c r="Z35" s="338"/>
      <c r="AA35" s="65"/>
      <c r="AB35" s="65"/>
      <c r="AC35" s="65"/>
      <c r="AD35" s="65"/>
      <c r="AE35" s="65"/>
      <c r="AF35" s="139"/>
      <c r="AG35" s="139"/>
      <c r="AH35" s="139"/>
      <c r="AI35" s="139"/>
      <c r="AJ35" s="139"/>
    </row>
    <row r="36" spans="1:36" s="209" customFormat="1" ht="0.75" hidden="1" customHeight="1">
      <c r="A36" s="1403"/>
      <c r="B36" s="1404"/>
      <c r="C36" s="323"/>
      <c r="D36" s="334"/>
      <c r="E36" s="339"/>
      <c r="F36" s="340"/>
      <c r="G36" s="337"/>
      <c r="H36" s="341"/>
      <c r="I36" s="341"/>
      <c r="J36" s="341"/>
      <c r="K36" s="341"/>
      <c r="L36" s="341"/>
      <c r="M36" s="341"/>
      <c r="N36" s="341"/>
      <c r="O36" s="341"/>
      <c r="P36" s="65" t="str">
        <f t="shared" si="5"/>
        <v/>
      </c>
      <c r="Q36" s="65"/>
      <c r="R36" s="65"/>
      <c r="S36" s="65"/>
      <c r="T36" s="65"/>
      <c r="U36" s="65"/>
      <c r="V36" s="65"/>
      <c r="W36" s="65"/>
      <c r="X36" s="65"/>
      <c r="Y36" s="65"/>
      <c r="Z36" s="338"/>
      <c r="AA36" s="65"/>
      <c r="AB36" s="65"/>
      <c r="AC36" s="65"/>
      <c r="AD36" s="65"/>
      <c r="AE36" s="65"/>
      <c r="AF36" s="139"/>
      <c r="AG36" s="139"/>
      <c r="AH36" s="139"/>
      <c r="AI36" s="139"/>
      <c r="AJ36" s="139"/>
    </row>
    <row r="37" spans="1:36" s="209" customFormat="1" ht="0.75" hidden="1" customHeight="1">
      <c r="A37" s="1403"/>
      <c r="B37" s="1404"/>
      <c r="C37" s="323"/>
      <c r="D37" s="334"/>
      <c r="E37" s="339"/>
      <c r="F37" s="340"/>
      <c r="G37" s="337"/>
      <c r="H37" s="341"/>
      <c r="I37" s="341"/>
      <c r="J37" s="341"/>
      <c r="K37" s="341"/>
      <c r="L37" s="341"/>
      <c r="M37" s="341"/>
      <c r="N37" s="341"/>
      <c r="O37" s="341"/>
      <c r="P37" s="65" t="str">
        <f t="shared" si="5"/>
        <v/>
      </c>
      <c r="Q37" s="65"/>
      <c r="R37" s="65"/>
      <c r="S37" s="65"/>
      <c r="T37" s="65"/>
      <c r="U37" s="65"/>
      <c r="V37" s="65"/>
      <c r="W37" s="65"/>
      <c r="X37" s="65"/>
      <c r="Y37" s="65"/>
      <c r="Z37" s="338"/>
      <c r="AA37" s="65"/>
      <c r="AB37" s="65"/>
      <c r="AC37" s="65"/>
      <c r="AD37" s="65"/>
      <c r="AE37" s="65"/>
      <c r="AF37" s="139"/>
      <c r="AG37" s="139"/>
      <c r="AH37" s="139"/>
      <c r="AI37" s="139"/>
      <c r="AJ37" s="139"/>
    </row>
    <row r="38" spans="1:36" s="209" customFormat="1" ht="0.75" hidden="1" customHeight="1">
      <c r="A38" s="1403"/>
      <c r="B38" s="1404"/>
      <c r="C38" s="323"/>
      <c r="D38" s="334"/>
      <c r="E38" s="339"/>
      <c r="F38" s="340"/>
      <c r="G38" s="337"/>
      <c r="H38" s="341"/>
      <c r="I38" s="341"/>
      <c r="J38" s="341"/>
      <c r="K38" s="341"/>
      <c r="L38" s="341"/>
      <c r="M38" s="341"/>
      <c r="N38" s="341"/>
      <c r="O38" s="341"/>
      <c r="P38" s="65" t="str">
        <f t="shared" si="5"/>
        <v/>
      </c>
      <c r="Q38" s="65"/>
      <c r="R38" s="65"/>
      <c r="S38" s="65"/>
      <c r="T38" s="65"/>
      <c r="U38" s="65"/>
      <c r="V38" s="65"/>
      <c r="W38" s="65"/>
      <c r="X38" s="65"/>
      <c r="Y38" s="65"/>
      <c r="Z38" s="338"/>
      <c r="AA38" s="65"/>
      <c r="AB38" s="65"/>
      <c r="AC38" s="65"/>
      <c r="AD38" s="65"/>
      <c r="AE38" s="65"/>
      <c r="AF38" s="139"/>
      <c r="AG38" s="139"/>
      <c r="AH38" s="139"/>
      <c r="AI38" s="139"/>
      <c r="AJ38" s="139"/>
    </row>
    <row r="39" spans="1:36" s="209" customFormat="1" ht="0.75" hidden="1" customHeight="1">
      <c r="A39" s="1403"/>
      <c r="B39" s="1404"/>
      <c r="C39" s="323"/>
      <c r="D39" s="334"/>
      <c r="E39" s="339"/>
      <c r="F39" s="340"/>
      <c r="G39" s="337"/>
      <c r="H39" s="297"/>
      <c r="I39" s="297"/>
      <c r="J39" s="297"/>
      <c r="K39" s="297"/>
      <c r="L39" s="297"/>
      <c r="M39" s="297"/>
      <c r="N39" s="297"/>
      <c r="O39" s="297"/>
      <c r="P39" s="65" t="str">
        <f t="shared" si="5"/>
        <v/>
      </c>
      <c r="Q39" s="65"/>
      <c r="R39" s="65"/>
      <c r="S39" s="65"/>
      <c r="T39" s="65"/>
      <c r="U39" s="65"/>
      <c r="V39" s="65"/>
      <c r="W39" s="65"/>
      <c r="X39" s="65"/>
      <c r="Y39" s="65"/>
      <c r="Z39" s="338"/>
      <c r="AA39" s="65"/>
      <c r="AB39" s="65"/>
      <c r="AC39" s="65"/>
      <c r="AD39" s="65"/>
      <c r="AE39" s="65"/>
      <c r="AF39" s="139"/>
      <c r="AG39" s="139"/>
      <c r="AH39" s="139"/>
      <c r="AI39" s="139"/>
      <c r="AJ39" s="139"/>
    </row>
    <row r="40" spans="1:36" s="60" customFormat="1" ht="15" hidden="1" customHeight="1">
      <c r="A40" s="1403"/>
      <c r="C40" s="65"/>
      <c r="D40" s="74"/>
      <c r="E40" s="342"/>
      <c r="F40" s="108" t="s">
        <v>1733</v>
      </c>
      <c r="G40" s="343"/>
      <c r="H40" s="344"/>
      <c r="I40" s="344"/>
      <c r="J40" s="344"/>
      <c r="K40" s="344"/>
      <c r="L40" s="344"/>
      <c r="M40" s="344"/>
      <c r="N40" s="344"/>
      <c r="O40" s="344"/>
      <c r="P40" s="65" t="str">
        <f t="shared" si="5"/>
        <v/>
      </c>
      <c r="Q40" s="65"/>
      <c r="R40" s="65"/>
      <c r="W40" s="65"/>
      <c r="Z40" s="319"/>
      <c r="AF40" s="6"/>
      <c r="AG40" s="6"/>
      <c r="AH40" s="6"/>
      <c r="AI40" s="6"/>
      <c r="AJ40" s="6"/>
    </row>
    <row r="41" spans="1:36" ht="11.25" hidden="1" customHeight="1">
      <c r="A41" s="1403" t="s">
        <v>1734</v>
      </c>
      <c r="D41" s="53"/>
      <c r="E41" s="321" t="str">
        <f>FHD_NUM_P_5</f>
        <v/>
      </c>
      <c r="F41" s="333" t="str">
        <f>FHD_P_5</f>
        <v/>
      </c>
      <c r="G41" s="39" t="s">
        <v>1726</v>
      </c>
      <c r="H41" s="331"/>
      <c r="I41" s="331"/>
      <c r="J41" s="331"/>
      <c r="K41" s="331"/>
      <c r="L41" s="331"/>
      <c r="M41" s="331"/>
      <c r="N41" s="331"/>
      <c r="O41" s="331"/>
      <c r="P41" s="65" t="str">
        <f t="shared" si="5"/>
        <v/>
      </c>
    </row>
    <row r="42" spans="1:36" ht="11.25" hidden="1" customHeight="1">
      <c r="A42" s="1403"/>
      <c r="D42" s="53"/>
      <c r="E42" s="321" t="str">
        <f>FHD_NUM_P_6</f>
        <v/>
      </c>
      <c r="F42" s="333" t="str">
        <f>FHD_P_6</f>
        <v/>
      </c>
      <c r="G42" s="39" t="s">
        <v>1726</v>
      </c>
      <c r="H42" s="331"/>
      <c r="I42" s="331"/>
      <c r="J42" s="331"/>
      <c r="K42" s="331"/>
      <c r="L42" s="331"/>
      <c r="M42" s="331"/>
      <c r="N42" s="331"/>
      <c r="O42" s="331"/>
      <c r="P42" s="65" t="str">
        <f t="shared" si="5"/>
        <v/>
      </c>
    </row>
    <row r="43" spans="1:36" ht="11.25" hidden="1" customHeight="1">
      <c r="A43" s="1403"/>
      <c r="D43" s="53"/>
      <c r="E43" s="321" t="str">
        <f>FHD_NUM_P_7</f>
        <v/>
      </c>
      <c r="F43" s="333" t="str">
        <f>FHD_P_7</f>
        <v/>
      </c>
      <c r="G43" s="39" t="s">
        <v>1726</v>
      </c>
      <c r="H43" s="331"/>
      <c r="I43" s="331"/>
      <c r="J43" s="331"/>
      <c r="K43" s="331"/>
      <c r="L43" s="331"/>
      <c r="M43" s="331"/>
      <c r="N43" s="331"/>
      <c r="O43" s="331"/>
      <c r="P43" s="65" t="str">
        <f t="shared" si="5"/>
        <v/>
      </c>
    </row>
    <row r="44" spans="1:36" ht="11.25" customHeight="1">
      <c r="D44" s="53"/>
      <c r="E44" s="321" t="str">
        <f>FHD_NUM_P_8</f>
        <v>2.2</v>
      </c>
      <c r="F44" s="333" t="str">
        <f>FHD_P_8</f>
        <v>Расходы на приобретаемую электрическую энергию (мощность), используемую в технологическом процессе</v>
      </c>
      <c r="G44" s="39" t="s">
        <v>1726</v>
      </c>
      <c r="H44" s="331"/>
      <c r="I44" s="331"/>
      <c r="J44" s="331"/>
      <c r="K44" s="331"/>
      <c r="L44" s="331"/>
      <c r="M44" s="331"/>
      <c r="N44" s="331"/>
      <c r="O44" s="331"/>
      <c r="P44" s="65" t="str">
        <f t="shared" si="5"/>
        <v>p</v>
      </c>
    </row>
    <row r="45" spans="1:36" ht="11.25" customHeight="1">
      <c r="D45" s="53"/>
      <c r="E45" s="321" t="str">
        <f>FHD_NUM_P_9</f>
        <v>2.2.1</v>
      </c>
      <c r="F45" s="347" t="str">
        <f>FHD_P_9</f>
        <v>Средневзвешенная стоимость 1 кВт.ч (с учетом мощности)</v>
      </c>
      <c r="G45" s="39" t="s">
        <v>1252</v>
      </c>
      <c r="H45" s="331"/>
      <c r="I45" s="331"/>
      <c r="J45" s="331"/>
      <c r="K45" s="331"/>
      <c r="L45" s="331"/>
      <c r="M45" s="331"/>
      <c r="N45" s="331"/>
      <c r="O45" s="331"/>
      <c r="P45" s="65" t="str">
        <f t="shared" si="5"/>
        <v/>
      </c>
    </row>
    <row r="46" spans="1:36" s="60" customFormat="1" ht="11.25" customHeight="1">
      <c r="A46" s="588"/>
      <c r="C46" s="65"/>
      <c r="D46" s="345"/>
      <c r="E46" s="321" t="str">
        <f>FHD_NUM_P_10</f>
        <v>2.2.2</v>
      </c>
      <c r="F46" s="347" t="str">
        <f>FHD_P_10</f>
        <v>Объём приобретения электрической энергии</v>
      </c>
      <c r="G46" s="39" t="s">
        <v>1735</v>
      </c>
      <c r="H46" s="331"/>
      <c r="I46" s="331"/>
      <c r="J46" s="331"/>
      <c r="K46" s="331"/>
      <c r="L46" s="331"/>
      <c r="M46" s="331"/>
      <c r="N46" s="331"/>
      <c r="O46" s="331"/>
      <c r="P46" s="65" t="str">
        <f t="shared" si="5"/>
        <v/>
      </c>
      <c r="Q46" s="65"/>
      <c r="R46" s="65"/>
      <c r="W46" s="65"/>
      <c r="Z46" s="319"/>
      <c r="AF46" s="6"/>
      <c r="AG46" s="6"/>
      <c r="AH46" s="6"/>
      <c r="AI46" s="6"/>
      <c r="AJ46" s="6"/>
    </row>
    <row r="47" spans="1:36" s="60" customFormat="1" ht="11.25" hidden="1" customHeight="1">
      <c r="A47" s="590" t="s">
        <v>1736</v>
      </c>
      <c r="C47" s="65"/>
      <c r="D47" s="346"/>
      <c r="E47" s="321" t="str">
        <f>FHD_NUM_P_11</f>
        <v/>
      </c>
      <c r="F47" s="333" t="str">
        <f>FHD_P_11</f>
        <v/>
      </c>
      <c r="G47" s="39" t="s">
        <v>1726</v>
      </c>
      <c r="H47" s="331"/>
      <c r="I47" s="331"/>
      <c r="J47" s="331"/>
      <c r="K47" s="331"/>
      <c r="L47" s="331"/>
      <c r="M47" s="331"/>
      <c r="N47" s="331"/>
      <c r="O47" s="331"/>
      <c r="P47" s="65" t="str">
        <f t="shared" si="5"/>
        <v/>
      </c>
      <c r="Q47" s="65"/>
      <c r="R47" s="65"/>
      <c r="W47" s="65"/>
      <c r="Z47" s="319"/>
      <c r="AF47" s="6"/>
      <c r="AG47" s="6"/>
      <c r="AH47" s="6"/>
      <c r="AI47" s="6"/>
      <c r="AJ47" s="6"/>
    </row>
    <row r="48" spans="1:36" s="60" customFormat="1" ht="18" customHeight="1">
      <c r="A48" s="590" t="s">
        <v>1737</v>
      </c>
      <c r="C48" s="65"/>
      <c r="D48" s="53"/>
      <c r="E48" s="321" t="str">
        <f>FHD_NUM_P_12</f>
        <v>2.3</v>
      </c>
      <c r="F48" s="333" t="str">
        <f>FHD_P_12</f>
        <v>Расходы на химические реагенты, используемые в технологическом процессе</v>
      </c>
      <c r="G48" s="39" t="s">
        <v>1726</v>
      </c>
      <c r="H48" s="348"/>
      <c r="I48" s="348"/>
      <c r="J48" s="348"/>
      <c r="K48" s="348"/>
      <c r="L48" s="348"/>
      <c r="M48" s="348"/>
      <c r="N48" s="348"/>
      <c r="O48" s="348"/>
      <c r="P48" s="65" t="str">
        <f t="shared" si="5"/>
        <v>p</v>
      </c>
      <c r="Q48" s="65"/>
      <c r="R48" s="65"/>
      <c r="W48" s="65"/>
      <c r="Z48" s="319"/>
      <c r="AF48" s="6"/>
      <c r="AG48" s="6"/>
      <c r="AH48" s="6"/>
      <c r="AI48" s="6"/>
      <c r="AJ48" s="6"/>
    </row>
    <row r="49" spans="1:36" s="433" customFormat="1" ht="11.25" customHeight="1">
      <c r="A49" s="589"/>
      <c r="C49" s="304"/>
      <c r="D49" s="391"/>
      <c r="E49" s="321" t="str">
        <f>FHD_NUM_P_13</f>
        <v>2.4</v>
      </c>
      <c r="F49" s="33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39" t="s">
        <v>1726</v>
      </c>
      <c r="H49" s="331"/>
      <c r="I49" s="331"/>
      <c r="J49" s="331"/>
      <c r="K49" s="331"/>
      <c r="L49" s="331"/>
      <c r="M49" s="331"/>
      <c r="N49" s="331"/>
      <c r="O49" s="331"/>
      <c r="P49" s="65" t="str">
        <f t="shared" si="5"/>
        <v>p</v>
      </c>
      <c r="Q49" s="304"/>
      <c r="R49" s="304"/>
      <c r="W49" s="304"/>
      <c r="Z49" s="434"/>
      <c r="AF49" s="29"/>
      <c r="AG49" s="29"/>
      <c r="AH49" s="29"/>
      <c r="AI49" s="29"/>
      <c r="AJ49" s="29"/>
    </row>
    <row r="50" spans="1:36" s="433" customFormat="1" ht="11.25" customHeight="1">
      <c r="A50" s="589"/>
      <c r="C50" s="304"/>
      <c r="D50" s="391"/>
      <c r="E50" s="321" t="str">
        <f>FHD_NUM_P_14</f>
        <v>2.4.1</v>
      </c>
      <c r="F50" s="347" t="str">
        <f>FHD_P_14</f>
        <v>Расходы на оплату труда основного производственного персонала</v>
      </c>
      <c r="G50" s="39" t="s">
        <v>1726</v>
      </c>
      <c r="H50" s="331"/>
      <c r="I50" s="331"/>
      <c r="J50" s="331"/>
      <c r="K50" s="331"/>
      <c r="L50" s="331"/>
      <c r="M50" s="331"/>
      <c r="N50" s="331"/>
      <c r="O50" s="331"/>
      <c r="P50" s="65" t="str">
        <f t="shared" si="5"/>
        <v/>
      </c>
      <c r="Q50" s="304"/>
      <c r="R50" s="304"/>
      <c r="W50" s="304"/>
      <c r="Z50" s="434"/>
      <c r="AF50" s="29"/>
      <c r="AG50" s="29"/>
      <c r="AH50" s="29"/>
      <c r="AI50" s="29"/>
      <c r="AJ50" s="29"/>
    </row>
    <row r="51" spans="1:36" s="433" customFormat="1" ht="11.25" customHeight="1">
      <c r="A51" s="589"/>
      <c r="C51" s="304"/>
      <c r="D51" s="391"/>
      <c r="E51" s="321" t="str">
        <f>FHD_NUM_P_15</f>
        <v>2.4.2</v>
      </c>
      <c r="F51" s="347" t="str">
        <f>FHD_P_15</f>
        <v>Страховые взносы на обязательное социальное страхование, выплачиваемые из фонда оплаты труда основного производственного персонала</v>
      </c>
      <c r="G51" s="39" t="s">
        <v>1726</v>
      </c>
      <c r="H51" s="331"/>
      <c r="I51" s="331"/>
      <c r="J51" s="331"/>
      <c r="K51" s="331"/>
      <c r="L51" s="331"/>
      <c r="M51" s="331"/>
      <c r="N51" s="331"/>
      <c r="O51" s="331"/>
      <c r="P51" s="65" t="str">
        <f t="shared" si="5"/>
        <v/>
      </c>
      <c r="Q51" s="304"/>
      <c r="R51" s="304"/>
      <c r="W51" s="304"/>
      <c r="Z51" s="434"/>
      <c r="AF51" s="29"/>
      <c r="AG51" s="29"/>
      <c r="AH51" s="29"/>
      <c r="AI51" s="29"/>
      <c r="AJ51" s="29"/>
    </row>
    <row r="52" spans="1:36" s="60" customFormat="1" ht="11.25" customHeight="1">
      <c r="A52" s="588"/>
      <c r="C52" s="65"/>
      <c r="D52" s="53"/>
      <c r="E52" s="321" t="str">
        <f>FHD_NUM_P_16</f>
        <v>2.5</v>
      </c>
      <c r="F52" s="33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39" t="s">
        <v>1726</v>
      </c>
      <c r="H52" s="331"/>
      <c r="I52" s="331"/>
      <c r="J52" s="331"/>
      <c r="K52" s="331"/>
      <c r="L52" s="331"/>
      <c r="M52" s="331"/>
      <c r="N52" s="331"/>
      <c r="O52" s="331"/>
      <c r="P52" s="65" t="str">
        <f t="shared" si="5"/>
        <v>p</v>
      </c>
      <c r="Q52" s="65"/>
      <c r="R52" s="65"/>
      <c r="W52" s="65"/>
      <c r="Z52" s="319"/>
      <c r="AF52" s="6"/>
      <c r="AG52" s="6"/>
      <c r="AH52" s="6"/>
      <c r="AI52" s="6"/>
      <c r="AJ52" s="6"/>
    </row>
    <row r="53" spans="1:36" s="60" customFormat="1" ht="11.25" customHeight="1">
      <c r="A53" s="588"/>
      <c r="C53" s="65"/>
      <c r="D53" s="53"/>
      <c r="E53" s="321" t="str">
        <f>FHD_NUM_P_17</f>
        <v>2.5.1</v>
      </c>
      <c r="F53" s="347" t="str">
        <f>FHD_P_17</f>
        <v>Расходы на оплату труда административно-управленческого персонала</v>
      </c>
      <c r="G53" s="39" t="s">
        <v>1726</v>
      </c>
      <c r="H53" s="331"/>
      <c r="I53" s="331"/>
      <c r="J53" s="331"/>
      <c r="K53" s="331"/>
      <c r="L53" s="331"/>
      <c r="M53" s="331"/>
      <c r="N53" s="331"/>
      <c r="O53" s="331"/>
      <c r="P53" s="65" t="str">
        <f t="shared" si="5"/>
        <v/>
      </c>
      <c r="Q53" s="65"/>
      <c r="R53" s="65"/>
      <c r="W53" s="65"/>
      <c r="Z53" s="319"/>
      <c r="AF53" s="6"/>
      <c r="AG53" s="6"/>
      <c r="AH53" s="6"/>
      <c r="AI53" s="6"/>
      <c r="AJ53" s="6"/>
    </row>
    <row r="54" spans="1:36" s="60" customFormat="1" ht="11.25" customHeight="1">
      <c r="A54" s="588"/>
      <c r="C54" s="65"/>
      <c r="D54" s="53"/>
      <c r="E54" s="321" t="str">
        <f>FHD_NUM_P_18</f>
        <v>2.5.2</v>
      </c>
      <c r="F54" s="34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39" t="s">
        <v>1726</v>
      </c>
      <c r="H54" s="331"/>
      <c r="I54" s="331"/>
      <c r="J54" s="331"/>
      <c r="K54" s="331"/>
      <c r="L54" s="331"/>
      <c r="M54" s="331"/>
      <c r="N54" s="331"/>
      <c r="O54" s="331"/>
      <c r="P54" s="65" t="str">
        <f t="shared" si="5"/>
        <v/>
      </c>
      <c r="Q54" s="65"/>
      <c r="R54" s="65"/>
      <c r="W54" s="65"/>
      <c r="Z54" s="319"/>
      <c r="AF54" s="6"/>
      <c r="AG54" s="6"/>
      <c r="AH54" s="6"/>
      <c r="AI54" s="6"/>
      <c r="AJ54" s="6"/>
    </row>
    <row r="55" spans="1:36" s="60" customFormat="1" ht="11.25" customHeight="1">
      <c r="A55" s="588"/>
      <c r="C55" s="65"/>
      <c r="D55" s="346"/>
      <c r="E55" s="321" t="str">
        <f>FHD_NUM_P_19</f>
        <v>2.6</v>
      </c>
      <c r="F55" s="333" t="str">
        <f>FHD_P_19</f>
        <v>Расходы на амортизацию основных средств и нематериальных активов</v>
      </c>
      <c r="G55" s="39" t="s">
        <v>1726</v>
      </c>
      <c r="H55" s="331"/>
      <c r="I55" s="331"/>
      <c r="J55" s="331"/>
      <c r="K55" s="331"/>
      <c r="L55" s="331"/>
      <c r="M55" s="331"/>
      <c r="N55" s="331"/>
      <c r="O55" s="331"/>
      <c r="P55" s="65" t="str">
        <f t="shared" si="5"/>
        <v>p</v>
      </c>
      <c r="Q55" s="65"/>
      <c r="R55" s="65"/>
      <c r="W55" s="65"/>
      <c r="Z55" s="319"/>
      <c r="AF55" s="6"/>
      <c r="AG55" s="6"/>
      <c r="AH55" s="6"/>
      <c r="AI55" s="6"/>
      <c r="AJ55" s="6"/>
    </row>
    <row r="56" spans="1:36" s="60" customFormat="1" ht="11.25" customHeight="1">
      <c r="A56" s="588"/>
      <c r="C56" s="65"/>
      <c r="D56" s="346"/>
      <c r="E56" s="321" t="str">
        <f>FHD_NUM_P_20</f>
        <v>2.6.1</v>
      </c>
      <c r="F56" s="347" t="str">
        <f>FHD_P_20</f>
        <v>Расходы на амортизацию основных средств</v>
      </c>
      <c r="G56" s="39" t="s">
        <v>1726</v>
      </c>
      <c r="H56" s="331"/>
      <c r="I56" s="331"/>
      <c r="J56" s="331"/>
      <c r="K56" s="331"/>
      <c r="L56" s="331"/>
      <c r="M56" s="331"/>
      <c r="N56" s="331"/>
      <c r="O56" s="331"/>
      <c r="P56" s="65" t="str">
        <f t="shared" si="5"/>
        <v/>
      </c>
      <c r="Q56" s="65"/>
      <c r="R56" s="65"/>
      <c r="W56" s="65"/>
      <c r="Z56" s="319"/>
      <c r="AF56" s="6"/>
      <c r="AG56" s="6"/>
      <c r="AH56" s="6"/>
      <c r="AI56" s="6"/>
      <c r="AJ56" s="6"/>
    </row>
    <row r="57" spans="1:36" s="60" customFormat="1" ht="11.25" customHeight="1">
      <c r="A57" s="588"/>
      <c r="C57" s="65"/>
      <c r="D57" s="346"/>
      <c r="E57" s="321" t="str">
        <f>FHD_NUM_P_21</f>
        <v>2.6.2</v>
      </c>
      <c r="F57" s="347" t="str">
        <f>FHD_P_21</f>
        <v>Расходы на амортизацию нематериальных активов</v>
      </c>
      <c r="G57" s="39" t="s">
        <v>1726</v>
      </c>
      <c r="H57" s="331"/>
      <c r="I57" s="331"/>
      <c r="J57" s="331"/>
      <c r="K57" s="331"/>
      <c r="L57" s="331"/>
      <c r="M57" s="331"/>
      <c r="N57" s="331"/>
      <c r="O57" s="331"/>
      <c r="P57" s="65" t="str">
        <f t="shared" si="5"/>
        <v/>
      </c>
      <c r="Q57" s="65"/>
      <c r="R57" s="65"/>
      <c r="W57" s="65"/>
      <c r="Z57" s="319"/>
      <c r="AF57" s="6"/>
      <c r="AG57" s="6"/>
      <c r="AH57" s="6"/>
      <c r="AI57" s="6"/>
      <c r="AJ57" s="6"/>
    </row>
    <row r="58" spans="1:36" s="60" customFormat="1" ht="11.25" customHeight="1">
      <c r="A58" s="588"/>
      <c r="C58" s="65"/>
      <c r="D58" s="53"/>
      <c r="E58" s="321" t="str">
        <f>FHD_NUM_P_22</f>
        <v>2.7</v>
      </c>
      <c r="F58" s="333" t="str">
        <f>FHD_P_22</f>
        <v>Расходы на аренду имущества, используемого для осуществления регулируемых видов деятельности в сфере холодного водоснабжения</v>
      </c>
      <c r="G58" s="39" t="s">
        <v>1726</v>
      </c>
      <c r="H58" s="331"/>
      <c r="I58" s="331"/>
      <c r="J58" s="331"/>
      <c r="K58" s="331"/>
      <c r="L58" s="331"/>
      <c r="M58" s="331"/>
      <c r="N58" s="331"/>
      <c r="O58" s="331"/>
      <c r="P58" s="65" t="str">
        <f t="shared" si="5"/>
        <v>p</v>
      </c>
      <c r="Q58" s="65"/>
      <c r="R58" s="65"/>
      <c r="W58" s="65"/>
      <c r="Z58" s="319"/>
      <c r="AF58" s="6"/>
      <c r="AG58" s="6"/>
      <c r="AH58" s="6"/>
      <c r="AI58" s="6"/>
      <c r="AJ58" s="6"/>
    </row>
    <row r="59" spans="1:36" s="60" customFormat="1" ht="11.25" customHeight="1">
      <c r="A59" s="588"/>
      <c r="C59" s="65"/>
      <c r="D59" s="346"/>
      <c r="E59" s="321" t="str">
        <f>FHD_NUM_P_23</f>
        <v>2.8</v>
      </c>
      <c r="F59" s="333" t="str">
        <f>FHD_P_23</f>
        <v>Общепроизводственные расходы, в том числе:</v>
      </c>
      <c r="G59" s="39" t="s">
        <v>1726</v>
      </c>
      <c r="H59" s="331"/>
      <c r="I59" s="331"/>
      <c r="J59" s="331"/>
      <c r="K59" s="331"/>
      <c r="L59" s="331"/>
      <c r="M59" s="331"/>
      <c r="N59" s="331"/>
      <c r="O59" s="331"/>
      <c r="P59" s="65" t="str">
        <f t="shared" si="5"/>
        <v>p</v>
      </c>
      <c r="Q59" s="65"/>
      <c r="R59" s="65"/>
      <c r="W59" s="65"/>
      <c r="Z59" s="319"/>
      <c r="AF59" s="6"/>
      <c r="AG59" s="6"/>
      <c r="AH59" s="6"/>
      <c r="AI59" s="6"/>
      <c r="AJ59" s="6"/>
    </row>
    <row r="60" spans="1:36" s="60" customFormat="1" ht="11.25" customHeight="1">
      <c r="A60" s="588"/>
      <c r="C60" s="65"/>
      <c r="D60" s="346"/>
      <c r="E60" s="321" t="str">
        <f>FHD_NUM_P_24</f>
        <v>2.8.1</v>
      </c>
      <c r="F60" s="347" t="str">
        <f>FHD_P_24</f>
        <v>Расходы на текущий ремонт</v>
      </c>
      <c r="G60" s="39" t="s">
        <v>1726</v>
      </c>
      <c r="H60" s="331"/>
      <c r="I60" s="331"/>
      <c r="J60" s="331"/>
      <c r="K60" s="331"/>
      <c r="L60" s="331"/>
      <c r="M60" s="331"/>
      <c r="N60" s="331"/>
      <c r="O60" s="331"/>
      <c r="P60" s="65" t="str">
        <f t="shared" si="5"/>
        <v/>
      </c>
      <c r="Q60" s="65"/>
      <c r="R60" s="65"/>
      <c r="W60" s="65"/>
      <c r="Z60" s="319"/>
      <c r="AF60" s="6"/>
      <c r="AG60" s="6"/>
      <c r="AH60" s="6"/>
      <c r="AI60" s="6"/>
      <c r="AJ60" s="6"/>
    </row>
    <row r="61" spans="1:36" s="60" customFormat="1" ht="11.25" customHeight="1">
      <c r="A61" s="588"/>
      <c r="C61" s="65"/>
      <c r="D61" s="346"/>
      <c r="E61" s="321" t="str">
        <f>FHD_NUM_P_25</f>
        <v>2.8.2</v>
      </c>
      <c r="F61" s="347" t="str">
        <f>FHD_P_25</f>
        <v>Расходы на капитальный ремонт</v>
      </c>
      <c r="G61" s="39" t="s">
        <v>1726</v>
      </c>
      <c r="H61" s="331"/>
      <c r="I61" s="331"/>
      <c r="J61" s="331"/>
      <c r="K61" s="331"/>
      <c r="L61" s="331"/>
      <c r="M61" s="331"/>
      <c r="N61" s="331"/>
      <c r="O61" s="331"/>
      <c r="P61" s="65" t="str">
        <f t="shared" si="5"/>
        <v/>
      </c>
      <c r="Q61" s="65"/>
      <c r="R61" s="65"/>
      <c r="W61" s="65"/>
      <c r="Z61" s="319"/>
      <c r="AF61" s="6"/>
      <c r="AG61" s="6"/>
      <c r="AH61" s="6"/>
      <c r="AI61" s="6"/>
      <c r="AJ61" s="6"/>
    </row>
    <row r="62" spans="1:36" s="60" customFormat="1" ht="11.25" customHeight="1">
      <c r="A62" s="588"/>
      <c r="C62" s="65"/>
      <c r="D62" s="53"/>
      <c r="E62" s="321" t="str">
        <f>FHD_NUM_P_26</f>
        <v>2.9</v>
      </c>
      <c r="F62" s="333" t="str">
        <f>FHD_P_26</f>
        <v>Общехозяйственные расходы, в том числе:</v>
      </c>
      <c r="G62" s="39" t="s">
        <v>1726</v>
      </c>
      <c r="H62" s="331"/>
      <c r="I62" s="331"/>
      <c r="J62" s="331"/>
      <c r="K62" s="331"/>
      <c r="L62" s="331"/>
      <c r="M62" s="331"/>
      <c r="N62" s="331"/>
      <c r="O62" s="331"/>
      <c r="P62" s="65" t="str">
        <f t="shared" si="5"/>
        <v>p</v>
      </c>
      <c r="Q62" s="65"/>
      <c r="R62" s="65"/>
      <c r="W62" s="65"/>
      <c r="Z62" s="319"/>
      <c r="AF62" s="6"/>
      <c r="AG62" s="6"/>
      <c r="AH62" s="6"/>
      <c r="AI62" s="6"/>
      <c r="AJ62" s="6"/>
    </row>
    <row r="63" spans="1:36" s="60" customFormat="1" ht="11.25" customHeight="1">
      <c r="A63" s="588"/>
      <c r="C63" s="65"/>
      <c r="D63" s="53"/>
      <c r="E63" s="321" t="str">
        <f>FHD_NUM_P_27</f>
        <v>2.9.1</v>
      </c>
      <c r="F63" s="347" t="str">
        <f>FHD_P_27</f>
        <v>Расходы на текущий ремонт</v>
      </c>
      <c r="G63" s="39" t="s">
        <v>1726</v>
      </c>
      <c r="H63" s="331"/>
      <c r="I63" s="331"/>
      <c r="J63" s="331"/>
      <c r="K63" s="331"/>
      <c r="L63" s="331"/>
      <c r="M63" s="331"/>
      <c r="N63" s="331"/>
      <c r="O63" s="331"/>
      <c r="P63" s="65" t="str">
        <f t="shared" si="5"/>
        <v/>
      </c>
      <c r="Q63" s="65"/>
      <c r="R63" s="65"/>
      <c r="W63" s="65"/>
      <c r="Z63" s="319"/>
      <c r="AF63" s="6"/>
      <c r="AG63" s="6"/>
      <c r="AH63" s="6"/>
      <c r="AI63" s="6"/>
      <c r="AJ63" s="6"/>
    </row>
    <row r="64" spans="1:36" s="60" customFormat="1" ht="11.25" customHeight="1">
      <c r="A64" s="588"/>
      <c r="C64" s="65"/>
      <c r="D64" s="53"/>
      <c r="E64" s="321" t="str">
        <f>FHD_NUM_P_28</f>
        <v>2.9.2</v>
      </c>
      <c r="F64" s="347" t="str">
        <f>FHD_P_28</f>
        <v>Расходы на капитальный ремонт</v>
      </c>
      <c r="G64" s="39" t="s">
        <v>1726</v>
      </c>
      <c r="H64" s="331"/>
      <c r="I64" s="331"/>
      <c r="J64" s="331"/>
      <c r="K64" s="331"/>
      <c r="L64" s="331"/>
      <c r="M64" s="331"/>
      <c r="N64" s="331"/>
      <c r="O64" s="331"/>
      <c r="P64" s="65" t="str">
        <f t="shared" si="5"/>
        <v/>
      </c>
      <c r="Q64" s="65"/>
      <c r="R64" s="65"/>
      <c r="W64" s="65"/>
      <c r="Z64" s="319"/>
      <c r="AF64" s="6"/>
      <c r="AG64" s="6"/>
      <c r="AH64" s="6"/>
      <c r="AI64" s="6"/>
      <c r="AJ64" s="6"/>
    </row>
    <row r="65" spans="1:36" s="60" customFormat="1" ht="11.25" customHeight="1">
      <c r="A65" s="588"/>
      <c r="C65" s="65"/>
      <c r="D65" s="53"/>
      <c r="E65" s="321" t="str">
        <f>FHD_NUM_P_29</f>
        <v>2.10</v>
      </c>
      <c r="F65" s="333" t="str">
        <f>FHD_P_29</f>
        <v>Расходы на капитальный и текущий ремонт основных средств</v>
      </c>
      <c r="G65" s="39" t="s">
        <v>1726</v>
      </c>
      <c r="H65" s="331"/>
      <c r="I65" s="331"/>
      <c r="J65" s="331"/>
      <c r="K65" s="331"/>
      <c r="L65" s="331"/>
      <c r="M65" s="331"/>
      <c r="N65" s="331"/>
      <c r="O65" s="331"/>
      <c r="P65" s="65" t="str">
        <f t="shared" si="5"/>
        <v>p</v>
      </c>
      <c r="Q65" s="65"/>
      <c r="R65" s="65"/>
      <c r="W65" s="65"/>
      <c r="Z65" s="319"/>
      <c r="AF65" s="6"/>
      <c r="AG65" s="6"/>
      <c r="AH65" s="6"/>
      <c r="AI65" s="6"/>
      <c r="AJ65" s="6"/>
    </row>
    <row r="66" spans="1:36" s="60" customFormat="1" ht="11.25" customHeight="1">
      <c r="A66" s="588"/>
      <c r="C66" s="65"/>
      <c r="D66" s="53"/>
      <c r="E66" s="321" t="str">
        <f>FHD_NUM_P_30</f>
        <v>2.10.1</v>
      </c>
      <c r="F66" s="34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39" t="s">
        <v>308</v>
      </c>
      <c r="H66" s="110" t="s">
        <v>432</v>
      </c>
      <c r="I66" s="110" t="s">
        <v>432</v>
      </c>
      <c r="J66" s="110" t="s">
        <v>432</v>
      </c>
      <c r="K66" s="110" t="s">
        <v>432</v>
      </c>
      <c r="L66" s="110" t="s">
        <v>432</v>
      </c>
      <c r="M66" s="110" t="s">
        <v>432</v>
      </c>
      <c r="N66" s="110" t="s">
        <v>432</v>
      </c>
      <c r="O66" s="110" t="s">
        <v>432</v>
      </c>
      <c r="P66" s="65" t="str">
        <f t="shared" si="5"/>
        <v/>
      </c>
      <c r="Q66" s="65">
        <f>IFERROR(MATCH("есть",B_FHD_FLAG_INDEX_1,0),0)</f>
        <v>0</v>
      </c>
      <c r="R66" s="65"/>
      <c r="W66" s="65"/>
      <c r="Z66" s="319"/>
      <c r="AF66" s="6"/>
      <c r="AG66" s="6"/>
      <c r="AH66" s="6"/>
      <c r="AI66" s="6"/>
      <c r="AJ66" s="6"/>
    </row>
    <row r="67" spans="1:36" s="60" customFormat="1" ht="11.25" customHeight="1">
      <c r="A67" s="1403" t="s">
        <v>1738</v>
      </c>
      <c r="C67" s="65"/>
      <c r="D67" s="53"/>
      <c r="E67" s="321" t="str">
        <f>FHD_NUM_P_31</f>
        <v>2.11</v>
      </c>
      <c r="F67" s="33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39" t="s">
        <v>1726</v>
      </c>
      <c r="H67" s="331"/>
      <c r="I67" s="331"/>
      <c r="J67" s="331"/>
      <c r="K67" s="331"/>
      <c r="L67" s="331"/>
      <c r="M67" s="331"/>
      <c r="N67" s="331"/>
      <c r="O67" s="331"/>
      <c r="P67" s="65" t="str">
        <f t="shared" si="5"/>
        <v>p</v>
      </c>
      <c r="Q67" s="65"/>
      <c r="R67" s="65"/>
      <c r="W67" s="65"/>
      <c r="Z67" s="319"/>
      <c r="AF67" s="6"/>
      <c r="AG67" s="6"/>
      <c r="AH67" s="6"/>
      <c r="AI67" s="6"/>
      <c r="AJ67" s="6"/>
    </row>
    <row r="68" spans="1:36" s="60" customFormat="1" ht="11.25" customHeight="1">
      <c r="A68" s="1403"/>
      <c r="C68" s="65"/>
      <c r="D68" s="53"/>
      <c r="E68" s="321" t="str">
        <f>FHD_NUM_P_32</f>
        <v>2.11.1</v>
      </c>
      <c r="F68" s="34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39" t="s">
        <v>308</v>
      </c>
      <c r="H68" s="110" t="s">
        <v>432</v>
      </c>
      <c r="I68" s="110" t="s">
        <v>432</v>
      </c>
      <c r="J68" s="110" t="s">
        <v>432</v>
      </c>
      <c r="K68" s="110" t="s">
        <v>432</v>
      </c>
      <c r="L68" s="110" t="s">
        <v>432</v>
      </c>
      <c r="M68" s="110" t="s">
        <v>432</v>
      </c>
      <c r="N68" s="110" t="s">
        <v>432</v>
      </c>
      <c r="O68" s="110" t="s">
        <v>432</v>
      </c>
      <c r="P68" s="65" t="str">
        <f t="shared" si="5"/>
        <v/>
      </c>
      <c r="Q68" s="65">
        <f>IFERROR(MATCH("есть",B_FHD_FLAG_INDEX_2,0),0)</f>
        <v>0</v>
      </c>
      <c r="R68" s="65"/>
      <c r="W68" s="65"/>
      <c r="Z68" s="319"/>
      <c r="AF68" s="6"/>
      <c r="AG68" s="6"/>
      <c r="AH68" s="6"/>
      <c r="AI68" s="6"/>
      <c r="AJ68" s="6"/>
    </row>
    <row r="69" spans="1:36" s="60" customFormat="1" ht="11.25" customHeight="1">
      <c r="A69" s="588"/>
      <c r="C69" s="65"/>
      <c r="D69" s="53"/>
      <c r="E69" s="321" t="str">
        <f>FHD_NUM_P_33</f>
        <v>2.12</v>
      </c>
      <c r="F69" s="33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9" t="s">
        <v>1726</v>
      </c>
      <c r="H69" s="350">
        <f t="shared" ref="H69:O69" si="7">SUM(H70:H71)</f>
        <v>0</v>
      </c>
      <c r="I69" s="350">
        <f t="shared" si="7"/>
        <v>0</v>
      </c>
      <c r="J69" s="350">
        <f t="shared" si="7"/>
        <v>0</v>
      </c>
      <c r="K69" s="350">
        <f t="shared" si="7"/>
        <v>0</v>
      </c>
      <c r="L69" s="350">
        <f t="shared" si="7"/>
        <v>0</v>
      </c>
      <c r="M69" s="350">
        <f t="shared" si="7"/>
        <v>0</v>
      </c>
      <c r="N69" s="350">
        <f t="shared" si="7"/>
        <v>0</v>
      </c>
      <c r="O69" s="350">
        <f t="shared" si="7"/>
        <v>0</v>
      </c>
      <c r="P69" s="65" t="str">
        <f t="shared" si="5"/>
        <v>p</v>
      </c>
      <c r="Q69" s="65"/>
      <c r="R69" s="65"/>
      <c r="W69" s="65"/>
      <c r="Z69" s="319"/>
      <c r="AF69" s="6"/>
      <c r="AG69" s="6"/>
      <c r="AH69" s="6"/>
      <c r="AI69" s="6"/>
      <c r="AJ69" s="6"/>
    </row>
    <row r="70" spans="1:36" s="65" customFormat="1" ht="0.75" customHeight="1">
      <c r="A70" s="323"/>
      <c r="D70" s="323"/>
      <c r="E70" s="326" t="str">
        <f>E69&amp;".0"</f>
        <v>2.12.0</v>
      </c>
      <c r="F70" s="592"/>
      <c r="G70" s="326"/>
      <c r="H70" s="593"/>
      <c r="I70" s="593"/>
      <c r="J70" s="593"/>
      <c r="K70" s="593"/>
      <c r="L70" s="593"/>
      <c r="M70" s="593"/>
      <c r="N70" s="593"/>
      <c r="O70" s="593"/>
      <c r="P70" s="65" t="str">
        <f t="shared" si="5"/>
        <v/>
      </c>
    </row>
    <row r="71" spans="1:36" s="60" customFormat="1" ht="14.25" customHeight="1">
      <c r="A71" s="588"/>
      <c r="C71" s="65"/>
      <c r="D71" s="74"/>
      <c r="E71" s="342"/>
      <c r="F71" s="108" t="s">
        <v>1739</v>
      </c>
      <c r="G71" s="343"/>
      <c r="H71" s="344"/>
      <c r="I71" s="344"/>
      <c r="J71" s="344"/>
      <c r="K71" s="344"/>
      <c r="L71" s="344"/>
      <c r="M71" s="344"/>
      <c r="N71" s="344"/>
      <c r="O71" s="344"/>
      <c r="P71" s="65"/>
      <c r="Q71" s="65"/>
      <c r="R71" s="65"/>
      <c r="W71" s="65"/>
      <c r="Z71" s="319"/>
      <c r="AF71" s="6"/>
      <c r="AG71" s="6"/>
      <c r="AH71" s="6"/>
      <c r="AI71" s="6"/>
      <c r="AJ71" s="6"/>
    </row>
    <row r="72" spans="1:36" s="60" customFormat="1" ht="18.75" hidden="1" customHeight="1">
      <c r="A72" s="590" t="s">
        <v>1740</v>
      </c>
      <c r="C72" s="65"/>
      <c r="D72" s="53"/>
      <c r="E72" s="321" t="str">
        <f>FHD_NUM_P_34</f>
        <v/>
      </c>
      <c r="F72" s="150" t="str">
        <f>FHD_P_34</f>
        <v/>
      </c>
      <c r="G72" s="39" t="s">
        <v>1726</v>
      </c>
      <c r="H72" s="331"/>
      <c r="I72" s="331"/>
      <c r="J72" s="331"/>
      <c r="K72" s="331"/>
      <c r="L72" s="331"/>
      <c r="M72" s="331"/>
      <c r="N72" s="331"/>
      <c r="O72" s="331"/>
      <c r="P72" s="318"/>
      <c r="Q72" s="65"/>
      <c r="R72" s="65"/>
      <c r="W72" s="65"/>
      <c r="Z72" s="319"/>
      <c r="AF72" s="6"/>
      <c r="AG72" s="6"/>
      <c r="AH72" s="6"/>
      <c r="AI72" s="6"/>
      <c r="AJ72" s="6"/>
    </row>
    <row r="73" spans="1:36" s="60" customFormat="1" ht="18.75" customHeight="1">
      <c r="A73" s="588"/>
      <c r="C73" s="65"/>
      <c r="D73" s="346"/>
      <c r="E73" s="321" t="str">
        <f>FHD_NUM_P_35</f>
        <v>3</v>
      </c>
      <c r="F73" s="150" t="str">
        <f>FHD_P_35</f>
        <v>Чистая прибыль, полученная от регулируемого вида деятельности в сфере холодного водоснабжения, в том числе:</v>
      </c>
      <c r="G73" s="39" t="s">
        <v>1726</v>
      </c>
      <c r="H73" s="331"/>
      <c r="I73" s="331"/>
      <c r="J73" s="331"/>
      <c r="K73" s="331"/>
      <c r="L73" s="331"/>
      <c r="M73" s="331"/>
      <c r="N73" s="331"/>
      <c r="O73" s="331"/>
      <c r="P73" s="318"/>
      <c r="Q73" s="65"/>
      <c r="R73" s="65"/>
      <c r="W73" s="65"/>
      <c r="Z73" s="319"/>
      <c r="AF73" s="6"/>
      <c r="AG73" s="6"/>
      <c r="AH73" s="6"/>
      <c r="AI73" s="6"/>
      <c r="AJ73" s="6"/>
    </row>
    <row r="74" spans="1:36" s="60" customFormat="1" ht="18.75" customHeight="1">
      <c r="A74" s="588"/>
      <c r="C74" s="65"/>
      <c r="D74" s="53"/>
      <c r="E74" s="321" t="str">
        <f>FHD_NUM_P_36</f>
        <v>3.1</v>
      </c>
      <c r="F74" s="33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39" t="s">
        <v>1726</v>
      </c>
      <c r="H74" s="331"/>
      <c r="I74" s="331"/>
      <c r="J74" s="331"/>
      <c r="K74" s="331"/>
      <c r="L74" s="331"/>
      <c r="M74" s="331"/>
      <c r="N74" s="331"/>
      <c r="O74" s="331"/>
      <c r="P74" s="318"/>
      <c r="Q74" s="65"/>
      <c r="R74" s="65"/>
      <c r="W74" s="65"/>
      <c r="Z74" s="319"/>
      <c r="AF74" s="6"/>
      <c r="AG74" s="6"/>
      <c r="AH74" s="6"/>
      <c r="AI74" s="6"/>
      <c r="AJ74" s="6"/>
    </row>
    <row r="75" spans="1:36" s="60" customFormat="1" ht="18.75" customHeight="1">
      <c r="A75" s="588"/>
      <c r="C75" s="65"/>
      <c r="D75" s="53"/>
      <c r="E75" s="321" t="str">
        <f>FHD_NUM_P_37</f>
        <v>4</v>
      </c>
      <c r="F75" s="150" t="str">
        <f>FHD_P_37</f>
        <v>Изменение стоимости основных фондов, в том числе:</v>
      </c>
      <c r="G75" s="39" t="s">
        <v>1726</v>
      </c>
      <c r="H75" s="331"/>
      <c r="I75" s="331"/>
      <c r="J75" s="331"/>
      <c r="K75" s="331"/>
      <c r="L75" s="331"/>
      <c r="M75" s="331"/>
      <c r="N75" s="331"/>
      <c r="O75" s="331"/>
      <c r="P75" s="318"/>
      <c r="Q75" s="65"/>
      <c r="R75" s="65"/>
      <c r="W75" s="65"/>
      <c r="Z75" s="319"/>
      <c r="AF75" s="6"/>
      <c r="AG75" s="6"/>
      <c r="AH75" s="6"/>
      <c r="AI75" s="6"/>
      <c r="AJ75" s="6"/>
    </row>
    <row r="76" spans="1:36" s="60" customFormat="1" ht="18.75" customHeight="1">
      <c r="A76" s="588"/>
      <c r="C76" s="65"/>
      <c r="D76" s="53"/>
      <c r="E76" s="321" t="str">
        <f>FHD_NUM_P_38</f>
        <v>4.1</v>
      </c>
      <c r="F76" s="333" t="str">
        <f>FHD_P_38</f>
        <v>Изменение стоимости основных фондов за счет их ввода в эксплуатацию (вывода из эксплуатации)</v>
      </c>
      <c r="G76" s="39" t="s">
        <v>1726</v>
      </c>
      <c r="H76" s="331"/>
      <c r="I76" s="331"/>
      <c r="J76" s="331"/>
      <c r="K76" s="331"/>
      <c r="L76" s="331"/>
      <c r="M76" s="331"/>
      <c r="N76" s="331"/>
      <c r="O76" s="331"/>
      <c r="P76" s="318"/>
      <c r="Q76" s="65"/>
      <c r="R76" s="65"/>
      <c r="W76" s="65"/>
      <c r="Z76" s="319"/>
      <c r="AF76" s="6"/>
      <c r="AG76" s="6"/>
      <c r="AH76" s="6"/>
      <c r="AI76" s="6"/>
      <c r="AJ76" s="6"/>
    </row>
    <row r="77" spans="1:36" s="60" customFormat="1" ht="18.75" customHeight="1">
      <c r="A77" s="588"/>
      <c r="C77" s="65"/>
      <c r="D77" s="53"/>
      <c r="E77" s="321" t="str">
        <f>FHD_NUM_P_39</f>
        <v>4.1.1</v>
      </c>
      <c r="F77" s="347" t="str">
        <f>FHD_P_39</f>
        <v>Изменение стоимости основных фондов за счет их ввода в эксплуатацию</v>
      </c>
      <c r="G77" s="39" t="s">
        <v>1726</v>
      </c>
      <c r="H77" s="331"/>
      <c r="I77" s="331"/>
      <c r="J77" s="331"/>
      <c r="K77" s="331"/>
      <c r="L77" s="331"/>
      <c r="M77" s="331"/>
      <c r="N77" s="331"/>
      <c r="O77" s="331"/>
      <c r="P77" s="318"/>
      <c r="Q77" s="65"/>
      <c r="R77" s="65"/>
      <c r="W77" s="65"/>
      <c r="Z77" s="319"/>
      <c r="AF77" s="6"/>
      <c r="AG77" s="6"/>
      <c r="AH77" s="6"/>
      <c r="AI77" s="6"/>
      <c r="AJ77" s="6"/>
    </row>
    <row r="78" spans="1:36" s="60" customFormat="1" ht="18.75" customHeight="1">
      <c r="A78" s="588"/>
      <c r="C78" s="65"/>
      <c r="D78" s="53"/>
      <c r="E78" s="321" t="str">
        <f>FHD_NUM_P_40</f>
        <v>4.1.2</v>
      </c>
      <c r="F78" s="347" t="str">
        <f>FHD_P_40</f>
        <v>Изменение стоимости основных фондов за счет их вывода в эксплуатацию</v>
      </c>
      <c r="G78" s="39" t="s">
        <v>1726</v>
      </c>
      <c r="H78" s="331"/>
      <c r="I78" s="331"/>
      <c r="J78" s="331"/>
      <c r="K78" s="331"/>
      <c r="L78" s="331"/>
      <c r="M78" s="331"/>
      <c r="N78" s="331"/>
      <c r="O78" s="331"/>
      <c r="P78" s="318"/>
      <c r="Q78" s="65"/>
      <c r="R78" s="65"/>
      <c r="W78" s="65"/>
      <c r="Z78" s="319"/>
      <c r="AF78" s="6"/>
      <c r="AG78" s="6"/>
      <c r="AH78" s="6"/>
      <c r="AI78" s="6"/>
      <c r="AJ78" s="6"/>
    </row>
    <row r="79" spans="1:36" s="60" customFormat="1" ht="18.75" customHeight="1">
      <c r="A79" s="588"/>
      <c r="C79" s="65"/>
      <c r="D79" s="53"/>
      <c r="E79" s="321" t="str">
        <f>FHD_NUM_P_41</f>
        <v>4.2</v>
      </c>
      <c r="F79" s="333" t="str">
        <f>FHD_P_41</f>
        <v>Изменение стоимости основных фондов за счет их переоценки</v>
      </c>
      <c r="G79" s="349" t="s">
        <v>1726</v>
      </c>
      <c r="H79" s="331"/>
      <c r="I79" s="331"/>
      <c r="J79" s="331"/>
      <c r="K79" s="331"/>
      <c r="L79" s="331"/>
      <c r="M79" s="331"/>
      <c r="N79" s="331"/>
      <c r="O79" s="331"/>
      <c r="P79" s="318"/>
      <c r="Q79" s="65"/>
      <c r="R79" s="65"/>
      <c r="W79" s="65"/>
      <c r="Z79" s="319"/>
      <c r="AF79" s="6"/>
      <c r="AG79" s="6"/>
      <c r="AH79" s="6"/>
      <c r="AI79" s="6"/>
      <c r="AJ79" s="6"/>
    </row>
    <row r="80" spans="1:36" s="60" customFormat="1" ht="18.75" customHeight="1">
      <c r="A80" s="590" t="s">
        <v>1741</v>
      </c>
      <c r="C80" s="65"/>
      <c r="D80" s="53"/>
      <c r="E80" s="321" t="str">
        <f>FHD_NUM_P_42</f>
        <v>5</v>
      </c>
      <c r="F80" s="150" t="str">
        <f>FHD_P_42</f>
        <v>Валовая прибыль (убытки) от продажи товаров и услуг по регулируемым видам деятельности в сфере холодного водоснабжения</v>
      </c>
      <c r="G80" s="39" t="s">
        <v>1726</v>
      </c>
      <c r="H80" s="577"/>
      <c r="I80" s="331"/>
      <c r="J80" s="577"/>
      <c r="K80" s="577"/>
      <c r="L80" s="577"/>
      <c r="M80" s="577"/>
      <c r="N80" s="577"/>
      <c r="O80" s="577"/>
      <c r="P80" s="318"/>
      <c r="Q80" s="65"/>
      <c r="R80" s="65"/>
      <c r="W80" s="65"/>
      <c r="Z80" s="319"/>
      <c r="AF80" s="6"/>
      <c r="AG80" s="6"/>
      <c r="AH80" s="6"/>
      <c r="AI80" s="6"/>
      <c r="AJ80" s="6"/>
    </row>
    <row r="81" spans="1:36" s="60" customFormat="1" ht="18.75" customHeight="1">
      <c r="A81" s="588"/>
      <c r="C81" s="65"/>
      <c r="D81" s="53"/>
      <c r="E81" s="321" t="str">
        <f>FHD_NUM_P_43</f>
        <v>6</v>
      </c>
      <c r="F81" s="150" t="str">
        <f>FHD_P_43</f>
        <v>Годовая бухгалтерская (финансовая) отчетность, включая бухгалтерский баланс и приложения к нему</v>
      </c>
      <c r="G81" s="39" t="s">
        <v>308</v>
      </c>
      <c r="H81" s="635"/>
      <c r="I81" s="241"/>
      <c r="J81" s="635"/>
      <c r="K81" s="635"/>
      <c r="L81" s="635"/>
      <c r="M81" s="635"/>
      <c r="N81" s="635"/>
      <c r="O81" s="635"/>
      <c r="P81" s="318"/>
      <c r="Q81" s="65"/>
      <c r="R81" s="65"/>
      <c r="W81" s="65"/>
      <c r="Z81" s="319"/>
      <c r="AF81" s="6"/>
      <c r="AG81" s="6"/>
      <c r="AH81" s="6"/>
      <c r="AI81" s="6"/>
      <c r="AJ81" s="6"/>
    </row>
    <row r="82" spans="1:36" s="60" customFormat="1" ht="18.75" customHeight="1">
      <c r="A82" s="1403" t="s">
        <v>1742</v>
      </c>
      <c r="C82" s="65"/>
      <c r="D82" s="53"/>
      <c r="E82" s="321" t="str">
        <f>FHD_NUM_P_44</f>
        <v>7</v>
      </c>
      <c r="F82" s="150" t="str">
        <f>FHD_P_44</f>
        <v>Объём поднятой воды</v>
      </c>
      <c r="G82" s="39" t="s">
        <v>1743</v>
      </c>
      <c r="H82" s="578"/>
      <c r="I82" s="348"/>
      <c r="J82" s="578"/>
      <c r="K82" s="578"/>
      <c r="L82" s="578"/>
      <c r="M82" s="578"/>
      <c r="N82" s="578"/>
      <c r="O82" s="578"/>
      <c r="P82" s="318"/>
      <c r="Q82" s="65"/>
      <c r="R82" s="65"/>
      <c r="W82" s="65"/>
      <c r="Z82" s="319"/>
      <c r="AF82" s="6"/>
      <c r="AG82" s="6"/>
      <c r="AH82" s="6"/>
      <c r="AI82" s="6"/>
      <c r="AJ82" s="6"/>
    </row>
    <row r="83" spans="1:36" s="60" customFormat="1" ht="18.75" customHeight="1">
      <c r="A83" s="1403"/>
      <c r="C83" s="65"/>
      <c r="D83" s="53"/>
      <c r="E83" s="321" t="str">
        <f>FHD_NUM_P_45</f>
        <v>8</v>
      </c>
      <c r="F83" s="150" t="str">
        <f>FHD_P_45</f>
        <v>Объём покупной воды</v>
      </c>
      <c r="G83" s="39" t="s">
        <v>1743</v>
      </c>
      <c r="H83" s="578"/>
      <c r="I83" s="348"/>
      <c r="J83" s="578"/>
      <c r="K83" s="578"/>
      <c r="L83" s="578"/>
      <c r="M83" s="578"/>
      <c r="N83" s="578"/>
      <c r="O83" s="578"/>
      <c r="P83" s="318"/>
      <c r="Q83" s="65"/>
      <c r="R83" s="65"/>
      <c r="W83" s="65"/>
      <c r="Z83" s="319"/>
      <c r="AF83" s="6"/>
      <c r="AG83" s="6"/>
      <c r="AH83" s="6"/>
      <c r="AI83" s="6"/>
      <c r="AJ83" s="6"/>
    </row>
    <row r="84" spans="1:36" s="60" customFormat="1" ht="18.75" customHeight="1">
      <c r="A84" s="1403"/>
      <c r="C84" s="65"/>
      <c r="D84" s="346"/>
      <c r="E84" s="321" t="str">
        <f>FHD_NUM_P_46</f>
        <v>9</v>
      </c>
      <c r="F84" s="150" t="str">
        <f>FHD_P_46</f>
        <v>Объём воды, пропущенной через очистные сооружения</v>
      </c>
      <c r="G84" s="39" t="s">
        <v>1743</v>
      </c>
      <c r="H84" s="578"/>
      <c r="I84" s="348"/>
      <c r="J84" s="578"/>
      <c r="K84" s="578"/>
      <c r="L84" s="578"/>
      <c r="M84" s="578"/>
      <c r="N84" s="578"/>
      <c r="O84" s="578"/>
      <c r="P84" s="318"/>
      <c r="Q84" s="65"/>
      <c r="R84" s="65"/>
      <c r="W84" s="65"/>
      <c r="Z84" s="319"/>
      <c r="AF84" s="6"/>
      <c r="AG84" s="6"/>
      <c r="AH84" s="6"/>
      <c r="AI84" s="6"/>
      <c r="AJ84" s="6"/>
    </row>
    <row r="85" spans="1:36" s="60" customFormat="1" ht="18.75" customHeight="1">
      <c r="A85" s="1403"/>
      <c r="C85" s="65"/>
      <c r="D85" s="53"/>
      <c r="E85" s="321" t="str">
        <f>FHD_NUM_P_47</f>
        <v>10</v>
      </c>
      <c r="F85" s="150" t="str">
        <f>FHD_P_47</f>
        <v>Объём отпущенной потребителям воды, в том числе:</v>
      </c>
      <c r="G85" s="39" t="s">
        <v>1743</v>
      </c>
      <c r="H85" s="578"/>
      <c r="I85" s="348"/>
      <c r="J85" s="578"/>
      <c r="K85" s="578"/>
      <c r="L85" s="578"/>
      <c r="M85" s="578"/>
      <c r="N85" s="578"/>
      <c r="O85" s="578"/>
      <c r="P85" s="318"/>
      <c r="Q85" s="65"/>
      <c r="R85" s="65"/>
      <c r="W85" s="65"/>
      <c r="Z85" s="319"/>
      <c r="AF85" s="6"/>
      <c r="AG85" s="6"/>
      <c r="AH85" s="6"/>
      <c r="AI85" s="6"/>
      <c r="AJ85" s="6"/>
    </row>
    <row r="86" spans="1:36" s="9" customFormat="1" ht="18.75" customHeight="1">
      <c r="A86" s="1403"/>
      <c r="B86" s="60"/>
      <c r="C86" s="65"/>
      <c r="D86" s="53"/>
      <c r="E86" s="321" t="str">
        <f>FHD_NUM_P_48</f>
        <v>10.1</v>
      </c>
      <c r="F86" s="150" t="str">
        <f>FHD_P_48</f>
        <v>Объём отпущенной потребителям воды, определенный по приборам учета</v>
      </c>
      <c r="G86" s="39" t="s">
        <v>1743</v>
      </c>
      <c r="H86" s="578"/>
      <c r="I86" s="348"/>
      <c r="J86" s="578"/>
      <c r="K86" s="578"/>
      <c r="L86" s="578"/>
      <c r="M86" s="578"/>
      <c r="N86" s="578"/>
      <c r="O86" s="578"/>
      <c r="P86" s="318"/>
      <c r="Q86" s="65"/>
      <c r="R86" s="65"/>
      <c r="S86" s="60"/>
      <c r="T86" s="60"/>
      <c r="U86" s="60"/>
      <c r="V86" s="60"/>
      <c r="W86" s="65"/>
      <c r="X86" s="60"/>
      <c r="Y86" s="60"/>
      <c r="Z86" s="319"/>
      <c r="AA86" s="60"/>
      <c r="AB86" s="60"/>
      <c r="AC86" s="60"/>
      <c r="AD86" s="60"/>
      <c r="AE86" s="60"/>
      <c r="AF86" s="6"/>
      <c r="AG86" s="6"/>
      <c r="AH86" s="6"/>
      <c r="AI86" s="6"/>
      <c r="AJ86" s="6"/>
    </row>
    <row r="87" spans="1:36" s="9" customFormat="1" ht="18.75" customHeight="1">
      <c r="A87" s="1403"/>
      <c r="B87" s="60"/>
      <c r="C87" s="65"/>
      <c r="D87" s="53"/>
      <c r="E87" s="321" t="str">
        <f>FHD_NUM_P_49</f>
        <v>10.2</v>
      </c>
      <c r="F87" s="150" t="str">
        <f>FHD_P_49</f>
        <v>Объём отпущенной потребителям воды, определенный расчетным способом</v>
      </c>
      <c r="G87" s="39" t="s">
        <v>1743</v>
      </c>
      <c r="H87" s="579">
        <f t="shared" ref="H87:O87" si="8">SUM(H88:H89)</f>
        <v>0</v>
      </c>
      <c r="I87" s="440">
        <f t="shared" si="8"/>
        <v>0</v>
      </c>
      <c r="J87" s="579">
        <f t="shared" si="8"/>
        <v>0</v>
      </c>
      <c r="K87" s="579">
        <f t="shared" si="8"/>
        <v>0</v>
      </c>
      <c r="L87" s="579">
        <f t="shared" si="8"/>
        <v>0</v>
      </c>
      <c r="M87" s="579">
        <f t="shared" si="8"/>
        <v>0</v>
      </c>
      <c r="N87" s="579">
        <f t="shared" si="8"/>
        <v>0</v>
      </c>
      <c r="O87" s="579">
        <f t="shared" si="8"/>
        <v>0</v>
      </c>
      <c r="P87" s="318"/>
      <c r="Q87" s="65"/>
      <c r="R87" s="65"/>
      <c r="S87" s="60"/>
      <c r="T87" s="60"/>
      <c r="U87" s="60"/>
      <c r="V87" s="60"/>
      <c r="W87" s="65"/>
      <c r="X87" s="60"/>
      <c r="Y87" s="60"/>
      <c r="Z87" s="319"/>
      <c r="AA87" s="60"/>
      <c r="AB87" s="60"/>
      <c r="AC87" s="60"/>
      <c r="AD87" s="60"/>
      <c r="AE87" s="60"/>
      <c r="AF87" s="6"/>
      <c r="AG87" s="6"/>
      <c r="AH87" s="6"/>
      <c r="AI87" s="6"/>
      <c r="AJ87" s="6"/>
    </row>
    <row r="88" spans="1:36" s="9" customFormat="1" ht="18.75" customHeight="1">
      <c r="A88" s="1403"/>
      <c r="B88" s="60"/>
      <c r="C88" s="65"/>
      <c r="D88" s="53"/>
      <c r="E88" s="321" t="str">
        <f>FHD_NUM_P_50</f>
        <v>10.2.1</v>
      </c>
      <c r="F88" s="150" t="str">
        <f>FHD_P_50</f>
        <v>Объём отпущенной потребителям воды, определенный по нормативам потребления коммунальных услуг</v>
      </c>
      <c r="G88" s="39" t="s">
        <v>1743</v>
      </c>
      <c r="H88" s="578"/>
      <c r="I88" s="348"/>
      <c r="J88" s="578"/>
      <c r="K88" s="578"/>
      <c r="L88" s="578"/>
      <c r="M88" s="578"/>
      <c r="N88" s="578"/>
      <c r="O88" s="578"/>
      <c r="P88" s="318"/>
      <c r="Q88" s="65"/>
      <c r="R88" s="65"/>
      <c r="S88" s="60"/>
      <c r="T88" s="60"/>
      <c r="U88" s="60"/>
      <c r="V88" s="60"/>
      <c r="W88" s="65"/>
      <c r="X88" s="60"/>
      <c r="Y88" s="60"/>
      <c r="Z88" s="319"/>
      <c r="AA88" s="60"/>
      <c r="AB88" s="60"/>
      <c r="AC88" s="60"/>
      <c r="AD88" s="60"/>
      <c r="AE88" s="60"/>
      <c r="AF88" s="6"/>
      <c r="AG88" s="6"/>
      <c r="AH88" s="6"/>
      <c r="AI88" s="6"/>
      <c r="AJ88" s="6"/>
    </row>
    <row r="89" spans="1:36" s="9" customFormat="1" ht="18.75" customHeight="1">
      <c r="A89" s="1403"/>
      <c r="B89" s="60"/>
      <c r="C89" s="65"/>
      <c r="D89" s="53"/>
      <c r="E89" s="321" t="str">
        <f>FHD_NUM_P_51</f>
        <v>10.2.2</v>
      </c>
      <c r="F89" s="150" t="str">
        <f>FHD_P_51</f>
        <v xml:space="preserve">Объём отпущенной потребителям воды, определенный по нормативам потребления коммунальных ресурсов </v>
      </c>
      <c r="G89" s="39" t="s">
        <v>1743</v>
      </c>
      <c r="H89" s="578"/>
      <c r="I89" s="348"/>
      <c r="J89" s="578"/>
      <c r="K89" s="578"/>
      <c r="L89" s="578"/>
      <c r="M89" s="578"/>
      <c r="N89" s="578"/>
      <c r="O89" s="578"/>
      <c r="P89" s="318"/>
      <c r="Q89" s="65"/>
      <c r="R89" s="65"/>
      <c r="S89" s="60"/>
      <c r="T89" s="60"/>
      <c r="U89" s="60"/>
      <c r="V89" s="60"/>
      <c r="W89" s="65"/>
      <c r="X89" s="60"/>
      <c r="Y89" s="60"/>
      <c r="Z89" s="319"/>
      <c r="AA89" s="60"/>
      <c r="AB89" s="60"/>
      <c r="AC89" s="60"/>
      <c r="AD89" s="60"/>
      <c r="AE89" s="60"/>
      <c r="AF89" s="6"/>
      <c r="AG89" s="6"/>
      <c r="AH89" s="6"/>
      <c r="AI89" s="6"/>
      <c r="AJ89" s="6"/>
    </row>
    <row r="90" spans="1:36" s="9" customFormat="1" ht="18.75" customHeight="1">
      <c r="A90" s="1403"/>
      <c r="B90" s="60"/>
      <c r="C90" s="65"/>
      <c r="D90" s="53"/>
      <c r="E90" s="321" t="str">
        <f>FHD_NUM_P_52</f>
        <v>11</v>
      </c>
      <c r="F90" s="150" t="str">
        <f>FHD_P_52</f>
        <v>Потери воды в сетях</v>
      </c>
      <c r="G90" s="39" t="s">
        <v>1641</v>
      </c>
      <c r="H90" s="577"/>
      <c r="I90" s="331"/>
      <c r="J90" s="577"/>
      <c r="K90" s="577"/>
      <c r="L90" s="577"/>
      <c r="M90" s="577"/>
      <c r="N90" s="577"/>
      <c r="O90" s="577"/>
      <c r="P90" s="318"/>
      <c r="Q90" s="65"/>
      <c r="R90" s="65"/>
      <c r="S90" s="60"/>
      <c r="T90" s="60"/>
      <c r="U90" s="60"/>
      <c r="V90" s="60"/>
      <c r="W90" s="65"/>
      <c r="X90" s="60"/>
      <c r="Y90" s="60"/>
      <c r="Z90" s="319"/>
      <c r="AA90" s="60"/>
      <c r="AB90" s="60"/>
      <c r="AC90" s="60"/>
      <c r="AD90" s="60"/>
      <c r="AE90" s="60"/>
      <c r="AF90" s="6"/>
      <c r="AG90" s="6"/>
      <c r="AH90" s="6"/>
      <c r="AI90" s="6"/>
      <c r="AJ90" s="6"/>
    </row>
    <row r="91" spans="1:36" s="60" customFormat="1" ht="18.75" hidden="1" customHeight="1">
      <c r="A91" s="1403" t="s">
        <v>1744</v>
      </c>
      <c r="C91" s="65"/>
      <c r="D91" s="53"/>
      <c r="E91" s="321" t="str">
        <f>FHD_NUM_P_53</f>
        <v/>
      </c>
      <c r="F91" s="150" t="str">
        <f>FHD_P_53</f>
        <v/>
      </c>
      <c r="G91" s="39" t="s">
        <v>1743</v>
      </c>
      <c r="H91" s="578"/>
      <c r="I91" s="348"/>
      <c r="J91" s="578"/>
      <c r="K91" s="578"/>
      <c r="L91" s="578"/>
      <c r="M91" s="578"/>
      <c r="N91" s="578"/>
      <c r="O91" s="578"/>
      <c r="P91" s="318"/>
      <c r="Q91" s="65"/>
      <c r="R91" s="65"/>
      <c r="W91" s="65"/>
      <c r="Z91" s="319"/>
      <c r="AF91" s="6"/>
      <c r="AG91" s="6"/>
      <c r="AH91" s="6"/>
      <c r="AI91" s="6"/>
      <c r="AJ91" s="6"/>
    </row>
    <row r="92" spans="1:36" s="60" customFormat="1" ht="18.75" hidden="1" customHeight="1">
      <c r="A92" s="1403"/>
      <c r="C92" s="65"/>
      <c r="D92" s="53"/>
      <c r="E92" s="321" t="str">
        <f>FHD_NUM_P_54</f>
        <v/>
      </c>
      <c r="F92" s="150" t="str">
        <f>FHD_P_54</f>
        <v/>
      </c>
      <c r="G92" s="39" t="s">
        <v>1743</v>
      </c>
      <c r="H92" s="578"/>
      <c r="I92" s="348"/>
      <c r="J92" s="578"/>
      <c r="K92" s="578"/>
      <c r="L92" s="578"/>
      <c r="M92" s="578"/>
      <c r="N92" s="578"/>
      <c r="O92" s="578"/>
      <c r="P92" s="318"/>
      <c r="Q92" s="65"/>
      <c r="R92" s="65"/>
      <c r="W92" s="65"/>
      <c r="Z92" s="319"/>
      <c r="AF92" s="6"/>
      <c r="AG92" s="6"/>
      <c r="AH92" s="6"/>
      <c r="AI92" s="6"/>
      <c r="AJ92" s="6"/>
    </row>
    <row r="93" spans="1:36" s="60" customFormat="1" ht="18.75" hidden="1" customHeight="1">
      <c r="A93" s="1403"/>
      <c r="C93" s="65"/>
      <c r="D93" s="346"/>
      <c r="E93" s="321" t="str">
        <f>FHD_NUM_P_55</f>
        <v/>
      </c>
      <c r="F93" s="150" t="str">
        <f>FHD_P_55</f>
        <v/>
      </c>
      <c r="G93" s="529"/>
      <c r="H93" s="578"/>
      <c r="I93" s="348"/>
      <c r="J93" s="578"/>
      <c r="K93" s="578"/>
      <c r="L93" s="578"/>
      <c r="M93" s="578"/>
      <c r="N93" s="578"/>
      <c r="O93" s="578"/>
      <c r="P93" s="318"/>
      <c r="Q93" s="65"/>
      <c r="R93" s="65"/>
      <c r="W93" s="65"/>
      <c r="Z93" s="319"/>
      <c r="AF93" s="6"/>
      <c r="AG93" s="6"/>
      <c r="AH93" s="6"/>
      <c r="AI93" s="6"/>
      <c r="AJ93" s="6"/>
    </row>
    <row r="94" spans="1:36" s="60" customFormat="1" ht="18.75" hidden="1" customHeight="1">
      <c r="A94" s="1403"/>
      <c r="C94" s="65"/>
      <c r="D94" s="53"/>
      <c r="E94" s="321" t="str">
        <f>FHD_NUM_P_56</f>
        <v/>
      </c>
      <c r="F94" s="150" t="str">
        <f>FHD_P_56</f>
        <v/>
      </c>
      <c r="G94" s="39" t="s">
        <v>858</v>
      </c>
      <c r="H94" s="578"/>
      <c r="I94" s="348"/>
      <c r="J94" s="578"/>
      <c r="K94" s="578"/>
      <c r="L94" s="578"/>
      <c r="M94" s="578"/>
      <c r="N94" s="578"/>
      <c r="O94" s="578"/>
      <c r="P94" s="318"/>
      <c r="Q94" s="65"/>
      <c r="R94" s="65"/>
      <c r="W94" s="65"/>
      <c r="Z94" s="319"/>
      <c r="AF94" s="6"/>
      <c r="AG94" s="6"/>
      <c r="AH94" s="6"/>
      <c r="AI94" s="6"/>
      <c r="AJ94" s="6"/>
    </row>
    <row r="95" spans="1:36" s="9" customFormat="1" ht="18.75" hidden="1" customHeight="1">
      <c r="A95" s="1403"/>
      <c r="B95" s="60"/>
      <c r="C95" s="65"/>
      <c r="D95" s="53"/>
      <c r="E95" s="321" t="str">
        <f>FHD_NUM_P_57</f>
        <v/>
      </c>
      <c r="F95" s="150" t="str">
        <f>FHD_P_57</f>
        <v/>
      </c>
      <c r="G95" s="39" t="s">
        <v>1641</v>
      </c>
      <c r="H95" s="577"/>
      <c r="I95" s="331"/>
      <c r="J95" s="577"/>
      <c r="K95" s="577"/>
      <c r="L95" s="577"/>
      <c r="M95" s="577"/>
      <c r="N95" s="577"/>
      <c r="O95" s="577"/>
      <c r="P95" s="318"/>
      <c r="Q95" s="65"/>
      <c r="R95" s="65"/>
      <c r="S95" s="60"/>
      <c r="T95" s="60"/>
      <c r="U95" s="60"/>
      <c r="V95" s="60"/>
      <c r="W95" s="65"/>
      <c r="X95" s="60"/>
      <c r="Y95" s="60"/>
      <c r="Z95" s="319"/>
      <c r="AA95" s="60"/>
      <c r="AB95" s="60"/>
      <c r="AC95" s="60"/>
      <c r="AD95" s="60"/>
      <c r="AE95" s="60"/>
      <c r="AF95" s="6"/>
      <c r="AG95" s="6"/>
      <c r="AH95" s="6"/>
      <c r="AI95" s="6"/>
      <c r="AJ95" s="6"/>
    </row>
    <row r="96" spans="1:36" ht="18.75" hidden="1" customHeight="1">
      <c r="A96" s="1403" t="s">
        <v>1745</v>
      </c>
      <c r="D96" s="53"/>
      <c r="E96" s="321" t="str">
        <f>FHD_NUM_P_58</f>
        <v/>
      </c>
      <c r="F96" s="150" t="str">
        <f>FHD_P_58</f>
        <v/>
      </c>
      <c r="G96" s="39" t="s">
        <v>1743</v>
      </c>
      <c r="H96" s="578"/>
      <c r="I96" s="348"/>
      <c r="J96" s="578"/>
      <c r="K96" s="578"/>
      <c r="L96" s="578"/>
      <c r="M96" s="578"/>
      <c r="N96" s="578"/>
      <c r="O96" s="578"/>
      <c r="P96" s="318"/>
    </row>
    <row r="97" spans="1:36" ht="18.75" hidden="1" customHeight="1">
      <c r="A97" s="1403"/>
      <c r="D97" s="53"/>
      <c r="E97" s="321" t="str">
        <f>FHD_NUM_P_59</f>
        <v/>
      </c>
      <c r="F97" s="150" t="str">
        <f>FHD_P_59</f>
        <v/>
      </c>
      <c r="G97" s="39" t="s">
        <v>1743</v>
      </c>
      <c r="H97" s="578"/>
      <c r="I97" s="348"/>
      <c r="J97" s="578"/>
      <c r="K97" s="578"/>
      <c r="L97" s="578"/>
      <c r="M97" s="578"/>
      <c r="N97" s="578"/>
      <c r="O97" s="578"/>
      <c r="P97" s="318"/>
    </row>
    <row r="98" spans="1:36" ht="18.75" hidden="1" customHeight="1">
      <c r="A98" s="1403"/>
      <c r="D98" s="53"/>
      <c r="E98" s="321" t="str">
        <f>FHD_NUM_P_60</f>
        <v/>
      </c>
      <c r="F98" s="150" t="str">
        <f>FHD_P_60</f>
        <v/>
      </c>
      <c r="G98" s="39" t="s">
        <v>1743</v>
      </c>
      <c r="H98" s="578"/>
      <c r="I98" s="348"/>
      <c r="J98" s="578"/>
      <c r="K98" s="578"/>
      <c r="L98" s="578"/>
      <c r="M98" s="578"/>
      <c r="N98" s="578"/>
      <c r="O98" s="578"/>
      <c r="P98" s="318"/>
    </row>
    <row r="99" spans="1:36" s="60" customFormat="1" ht="18.75" hidden="1" customHeight="1">
      <c r="A99" s="1403" t="s">
        <v>1746</v>
      </c>
      <c r="C99" s="65"/>
      <c r="D99" s="53"/>
      <c r="E99" s="321" t="str">
        <f>FHD_NUM_P_61</f>
        <v/>
      </c>
      <c r="F99" s="150" t="str">
        <f>FHD_P_61</f>
        <v/>
      </c>
      <c r="G99" s="39" t="s">
        <v>642</v>
      </c>
      <c r="H99" s="580"/>
      <c r="I99" s="437"/>
      <c r="J99" s="580"/>
      <c r="K99" s="580"/>
      <c r="L99" s="580"/>
      <c r="M99" s="580"/>
      <c r="N99" s="580"/>
      <c r="O99" s="580"/>
      <c r="P99" s="318"/>
      <c r="Q99" s="65"/>
      <c r="R99" s="65"/>
      <c r="W99" s="65"/>
      <c r="Z99" s="319"/>
      <c r="AF99" s="6"/>
      <c r="AG99" s="6"/>
      <c r="AH99" s="6"/>
      <c r="AI99" s="6"/>
      <c r="AJ99" s="6"/>
    </row>
    <row r="100" spans="1:36" s="65" customFormat="1" ht="0.75" hidden="1" customHeight="1">
      <c r="A100" s="1403"/>
      <c r="D100" s="323"/>
      <c r="E100" s="326" t="str">
        <f>E99&amp;".0"</f>
        <v>.0</v>
      </c>
      <c r="F100" s="594"/>
      <c r="G100" s="595"/>
      <c r="H100" s="593"/>
      <c r="I100" s="593"/>
      <c r="J100" s="593"/>
      <c r="K100" s="593"/>
      <c r="L100" s="593"/>
      <c r="M100" s="593"/>
      <c r="N100" s="593"/>
      <c r="O100" s="593"/>
    </row>
    <row r="101" spans="1:36" ht="15" hidden="1" customHeight="1">
      <c r="A101" s="1403"/>
      <c r="D101" s="74"/>
      <c r="E101" s="574"/>
      <c r="F101" s="575" t="s">
        <v>1580</v>
      </c>
      <c r="G101" s="343"/>
      <c r="H101" s="344"/>
      <c r="I101" s="344"/>
      <c r="J101" s="344"/>
      <c r="K101" s="344"/>
      <c r="L101" s="344"/>
      <c r="M101" s="344"/>
      <c r="N101" s="344"/>
      <c r="O101" s="344"/>
      <c r="P101" s="318"/>
    </row>
    <row r="102" spans="1:36" s="60" customFormat="1" ht="18.75" hidden="1" customHeight="1">
      <c r="A102" s="1403"/>
      <c r="C102" s="65"/>
      <c r="D102" s="53"/>
      <c r="E102" s="321" t="str">
        <f>FHD_NUM_P_62</f>
        <v/>
      </c>
      <c r="F102" s="150" t="str">
        <f>FHD_P_62</f>
        <v/>
      </c>
      <c r="G102" s="403" t="s">
        <v>642</v>
      </c>
      <c r="H102" s="331"/>
      <c r="I102" s="331"/>
      <c r="J102" s="331"/>
      <c r="K102" s="331"/>
      <c r="L102" s="331"/>
      <c r="M102" s="331"/>
      <c r="N102" s="331"/>
      <c r="O102" s="331"/>
      <c r="P102" s="318"/>
      <c r="Q102" s="65"/>
      <c r="R102" s="65"/>
      <c r="W102" s="65"/>
      <c r="Z102" s="319"/>
      <c r="AF102" s="6"/>
      <c r="AG102" s="6"/>
      <c r="AH102" s="6"/>
      <c r="AI102" s="6"/>
      <c r="AJ102" s="6"/>
    </row>
    <row r="103" spans="1:36" s="60" customFormat="1" ht="18.75" hidden="1" customHeight="1">
      <c r="A103" s="1403"/>
      <c r="C103" s="65"/>
      <c r="D103" s="53"/>
      <c r="E103" s="321" t="str">
        <f>FHD_NUM_P_63</f>
        <v/>
      </c>
      <c r="F103" s="150" t="str">
        <f>FHD_P_63</f>
        <v/>
      </c>
      <c r="G103" s="403" t="s">
        <v>858</v>
      </c>
      <c r="H103" s="348"/>
      <c r="I103" s="348"/>
      <c r="J103" s="348"/>
      <c r="K103" s="348"/>
      <c r="L103" s="348"/>
      <c r="M103" s="348"/>
      <c r="N103" s="348"/>
      <c r="O103" s="348"/>
      <c r="P103" s="318"/>
      <c r="Q103" s="65"/>
      <c r="R103" s="65"/>
      <c r="W103" s="65"/>
      <c r="Z103" s="319"/>
      <c r="AF103" s="6"/>
      <c r="AG103" s="6"/>
      <c r="AH103" s="6"/>
      <c r="AI103" s="6"/>
      <c r="AJ103" s="6"/>
    </row>
    <row r="104" spans="1:36" s="60" customFormat="1" ht="18.75" hidden="1" customHeight="1">
      <c r="A104" s="1403"/>
      <c r="C104" s="65" t="s">
        <v>1747</v>
      </c>
      <c r="D104" s="53"/>
      <c r="E104" s="321" t="str">
        <f>FHD_NUM_P_64</f>
        <v/>
      </c>
      <c r="F104" s="150" t="str">
        <f>FHD_P_64</f>
        <v/>
      </c>
      <c r="G104" s="403" t="s">
        <v>858</v>
      </c>
      <c r="H104" s="320"/>
      <c r="I104" s="320"/>
      <c r="J104" s="320"/>
      <c r="K104" s="320"/>
      <c r="L104" s="320"/>
      <c r="M104" s="320"/>
      <c r="N104" s="320"/>
      <c r="O104" s="320"/>
      <c r="P104" s="318"/>
      <c r="Q104" s="65"/>
      <c r="R104" s="65"/>
      <c r="W104" s="65"/>
      <c r="Z104" s="319"/>
      <c r="AF104" s="6"/>
      <c r="AG104" s="6"/>
      <c r="AH104" s="6"/>
      <c r="AI104" s="6"/>
      <c r="AJ104" s="6"/>
    </row>
    <row r="105" spans="1:36" s="60" customFormat="1" ht="18.75" hidden="1" customHeight="1">
      <c r="A105" s="1403"/>
      <c r="C105" s="65"/>
      <c r="D105" s="53"/>
      <c r="E105" s="321" t="str">
        <f>FHD_NUM_P_65</f>
        <v/>
      </c>
      <c r="F105" s="150" t="str">
        <f>FHD_P_65</f>
        <v/>
      </c>
      <c r="G105" s="403" t="s">
        <v>858</v>
      </c>
      <c r="H105" s="348"/>
      <c r="I105" s="348"/>
      <c r="J105" s="348"/>
      <c r="K105" s="348"/>
      <c r="L105" s="348"/>
      <c r="M105" s="348"/>
      <c r="N105" s="348"/>
      <c r="O105" s="348"/>
      <c r="P105" s="318"/>
      <c r="Q105" s="65"/>
      <c r="R105" s="65"/>
      <c r="W105" s="65"/>
      <c r="Z105" s="319"/>
      <c r="AF105" s="6"/>
      <c r="AG105" s="6"/>
      <c r="AH105" s="6"/>
      <c r="AI105" s="6"/>
      <c r="AJ105" s="6"/>
    </row>
    <row r="106" spans="1:36" s="60" customFormat="1" ht="18.75" hidden="1" customHeight="1">
      <c r="A106" s="1403"/>
      <c r="C106" s="65"/>
      <c r="D106" s="53"/>
      <c r="E106" s="321" t="str">
        <f>FHD_NUM_P_66</f>
        <v/>
      </c>
      <c r="F106" s="333" t="str">
        <f>FHD_P_66</f>
        <v/>
      </c>
      <c r="G106" s="403" t="s">
        <v>858</v>
      </c>
      <c r="H106" s="348"/>
      <c r="I106" s="348"/>
      <c r="J106" s="348"/>
      <c r="K106" s="348"/>
      <c r="L106" s="348"/>
      <c r="M106" s="348"/>
      <c r="N106" s="348"/>
      <c r="O106" s="348"/>
      <c r="P106" s="318"/>
      <c r="Q106" s="65"/>
      <c r="R106" s="65"/>
      <c r="W106" s="65"/>
      <c r="Z106" s="319"/>
      <c r="AF106" s="6"/>
      <c r="AG106" s="6"/>
      <c r="AH106" s="6"/>
      <c r="AI106" s="6"/>
      <c r="AJ106" s="6"/>
    </row>
    <row r="107" spans="1:36" s="60" customFormat="1" ht="18.75" hidden="1" customHeight="1">
      <c r="A107" s="1403"/>
      <c r="C107" s="65"/>
      <c r="D107" s="53"/>
      <c r="E107" s="321" t="str">
        <f>FHD_NUM_P_67</f>
        <v/>
      </c>
      <c r="F107" s="347" t="str">
        <f>FHD_P_67</f>
        <v/>
      </c>
      <c r="G107" s="403" t="s">
        <v>858</v>
      </c>
      <c r="H107" s="348"/>
      <c r="I107" s="348"/>
      <c r="J107" s="348"/>
      <c r="K107" s="348"/>
      <c r="L107" s="348"/>
      <c r="M107" s="348"/>
      <c r="N107" s="348"/>
      <c r="O107" s="348"/>
      <c r="P107" s="318"/>
      <c r="Q107" s="65"/>
      <c r="R107" s="65"/>
      <c r="W107" s="65"/>
      <c r="Z107" s="319"/>
      <c r="AF107" s="6"/>
      <c r="AG107" s="6"/>
      <c r="AH107" s="6"/>
      <c r="AI107" s="6"/>
      <c r="AJ107" s="6"/>
    </row>
    <row r="108" spans="1:36" s="60" customFormat="1" ht="18.75" hidden="1" customHeight="1">
      <c r="A108" s="1403"/>
      <c r="C108" s="65"/>
      <c r="D108" s="53"/>
      <c r="E108" s="321" t="str">
        <f>FHD_NUM_P_68</f>
        <v/>
      </c>
      <c r="F108" s="333" t="str">
        <f>FHD_P_68</f>
        <v/>
      </c>
      <c r="G108" s="403" t="s">
        <v>858</v>
      </c>
      <c r="H108" s="348"/>
      <c r="I108" s="348"/>
      <c r="J108" s="348"/>
      <c r="K108" s="348"/>
      <c r="L108" s="348"/>
      <c r="M108" s="348"/>
      <c r="N108" s="348"/>
      <c r="O108" s="348"/>
      <c r="P108" s="318"/>
      <c r="Q108" s="65"/>
      <c r="R108" s="65"/>
      <c r="W108" s="65"/>
      <c r="Z108" s="319"/>
      <c r="AF108" s="6"/>
      <c r="AG108" s="6"/>
      <c r="AH108" s="6"/>
      <c r="AI108" s="6"/>
      <c r="AJ108" s="6"/>
    </row>
    <row r="109" spans="1:36" s="60" customFormat="1" ht="18.75" hidden="1" customHeight="1">
      <c r="A109" s="1403"/>
      <c r="C109" s="65"/>
      <c r="D109" s="53"/>
      <c r="E109" s="321" t="str">
        <f>FHD_NUM_P_69</f>
        <v/>
      </c>
      <c r="F109" s="333" t="str">
        <f>FHD_P_69</f>
        <v/>
      </c>
      <c r="G109" s="403" t="s">
        <v>858</v>
      </c>
      <c r="H109" s="348"/>
      <c r="I109" s="348"/>
      <c r="J109" s="348"/>
      <c r="K109" s="348"/>
      <c r="L109" s="348"/>
      <c r="M109" s="348"/>
      <c r="N109" s="348"/>
      <c r="O109" s="348"/>
      <c r="P109" s="318"/>
      <c r="Q109" s="65"/>
      <c r="R109" s="65"/>
      <c r="W109" s="65"/>
      <c r="Z109" s="319"/>
      <c r="AF109" s="6"/>
      <c r="AG109" s="6"/>
      <c r="AH109" s="6"/>
      <c r="AI109" s="6"/>
      <c r="AJ109" s="6"/>
    </row>
    <row r="110" spans="1:36" s="60" customFormat="1" ht="22.5" hidden="1" customHeight="1">
      <c r="A110" s="1403"/>
      <c r="C110" s="65"/>
      <c r="D110" s="53"/>
      <c r="E110" s="321" t="str">
        <f>FHD_NUM_P_70</f>
        <v/>
      </c>
      <c r="F110" s="150" t="str">
        <f>FHD_P_70</f>
        <v/>
      </c>
      <c r="G110" s="403" t="s">
        <v>1748</v>
      </c>
      <c r="H110" s="331"/>
      <c r="I110" s="331"/>
      <c r="J110" s="331"/>
      <c r="K110" s="331"/>
      <c r="L110" s="331"/>
      <c r="M110" s="331"/>
      <c r="N110" s="331"/>
      <c r="O110" s="331"/>
      <c r="P110" s="318"/>
      <c r="Q110" s="65"/>
      <c r="R110" s="65"/>
      <c r="W110" s="65"/>
      <c r="Z110" s="319"/>
      <c r="AF110" s="6"/>
      <c r="AG110" s="6"/>
      <c r="AH110" s="6"/>
      <c r="AI110" s="6"/>
      <c r="AJ110" s="6"/>
    </row>
    <row r="111" spans="1:36" s="60" customFormat="1" ht="22.5" hidden="1" customHeight="1">
      <c r="A111" s="1403"/>
      <c r="C111" s="65"/>
      <c r="D111" s="53"/>
      <c r="E111" s="321" t="str">
        <f>FHD_NUM_P_71</f>
        <v/>
      </c>
      <c r="F111" s="150" t="str">
        <f>FHD_P_71</f>
        <v/>
      </c>
      <c r="G111" s="403" t="s">
        <v>1748</v>
      </c>
      <c r="H111" s="331"/>
      <c r="I111" s="331"/>
      <c r="J111" s="331"/>
      <c r="K111" s="331"/>
      <c r="L111" s="331"/>
      <c r="M111" s="331"/>
      <c r="N111" s="331"/>
      <c r="O111" s="331"/>
      <c r="P111" s="318"/>
      <c r="Q111" s="65"/>
      <c r="R111" s="65"/>
      <c r="W111" s="65"/>
      <c r="Z111" s="319"/>
      <c r="AF111" s="6"/>
      <c r="AG111" s="6"/>
      <c r="AH111" s="6"/>
      <c r="AI111" s="6"/>
      <c r="AJ111" s="6"/>
    </row>
    <row r="112" spans="1:36" ht="18.75" customHeight="1">
      <c r="D112" s="53"/>
      <c r="E112" s="321" t="str">
        <f>FHD_NUM_P_72</f>
        <v>12</v>
      </c>
      <c r="F112" s="150" t="str">
        <f>FHD_P_72</f>
        <v>Среднесписочная численность основного производственного персонала</v>
      </c>
      <c r="G112" s="403" t="s">
        <v>1749</v>
      </c>
      <c r="H112" s="348"/>
      <c r="I112" s="348"/>
      <c r="J112" s="348"/>
      <c r="K112" s="348"/>
      <c r="L112" s="348"/>
      <c r="M112" s="348"/>
      <c r="N112" s="348"/>
      <c r="O112" s="348"/>
      <c r="P112" s="318"/>
    </row>
    <row r="113" spans="1:36" ht="18.75" hidden="1" customHeight="1">
      <c r="A113" s="590" t="s">
        <v>1750</v>
      </c>
      <c r="D113" s="53"/>
      <c r="E113" s="321" t="str">
        <f>FHD_NUM_P_73</f>
        <v/>
      </c>
      <c r="F113" s="150" t="str">
        <f>FHD_P_73</f>
        <v/>
      </c>
      <c r="G113" s="573" t="s">
        <v>1749</v>
      </c>
      <c r="H113" s="572"/>
      <c r="I113" s="572"/>
      <c r="J113" s="572"/>
      <c r="K113" s="572"/>
      <c r="L113" s="572"/>
      <c r="M113" s="572"/>
      <c r="N113" s="572"/>
      <c r="O113" s="572"/>
      <c r="P113" s="318"/>
    </row>
    <row r="114" spans="1:36" ht="33.75" customHeight="1">
      <c r="A114" s="590" t="s">
        <v>1751</v>
      </c>
      <c r="D114" s="53"/>
      <c r="E114" s="321" t="str">
        <f>FHD_NUM_P_74</f>
        <v>13</v>
      </c>
      <c r="F114" s="150" t="str">
        <f>FHD_P_74</f>
        <v>Удельный расход электрической энергии на подачу воды в сеть</v>
      </c>
      <c r="G114" s="403" t="s">
        <v>1752</v>
      </c>
      <c r="H114" s="348"/>
      <c r="I114" s="348"/>
      <c r="J114" s="348"/>
      <c r="K114" s="348"/>
      <c r="L114" s="348"/>
      <c r="M114" s="348"/>
      <c r="N114" s="348"/>
      <c r="O114" s="348"/>
      <c r="P114" s="318"/>
    </row>
    <row r="115" spans="1:36" s="9" customFormat="1" ht="18.75" customHeight="1">
      <c r="A115" s="1403" t="s">
        <v>1753</v>
      </c>
      <c r="B115" s="60"/>
      <c r="C115" s="65"/>
      <c r="D115" s="53"/>
      <c r="E115" s="321" t="str">
        <f>FHD_NUM_P_75</f>
        <v>14</v>
      </c>
      <c r="F115" s="150" t="str">
        <f>FHD_P_75</f>
        <v>Расход воды на собственные нужды, в том числе:</v>
      </c>
      <c r="G115" s="403" t="s">
        <v>1641</v>
      </c>
      <c r="H115" s="331"/>
      <c r="I115" s="331"/>
      <c r="J115" s="331"/>
      <c r="K115" s="331"/>
      <c r="L115" s="331"/>
      <c r="M115" s="331"/>
      <c r="N115" s="331"/>
      <c r="O115" s="331"/>
      <c r="P115" s="318"/>
      <c r="Q115" s="65"/>
      <c r="R115" s="65"/>
      <c r="S115" s="60"/>
      <c r="T115" s="60"/>
      <c r="U115" s="60"/>
      <c r="V115" s="60"/>
      <c r="W115" s="65"/>
      <c r="X115" s="60"/>
      <c r="Y115" s="60"/>
      <c r="Z115" s="319"/>
      <c r="AA115" s="60"/>
      <c r="AB115" s="60"/>
      <c r="AC115" s="60"/>
      <c r="AD115" s="60"/>
      <c r="AE115" s="60"/>
      <c r="AF115" s="6"/>
      <c r="AG115" s="6"/>
      <c r="AH115" s="6"/>
      <c r="AI115" s="6"/>
      <c r="AJ115" s="6"/>
    </row>
    <row r="116" spans="1:36" s="9" customFormat="1" ht="18.75" customHeight="1">
      <c r="A116" s="1403"/>
      <c r="B116" s="60"/>
      <c r="C116" s="65"/>
      <c r="D116" s="53"/>
      <c r="E116" s="321" t="str">
        <f>FHD_NUM_P_76</f>
        <v>14.1</v>
      </c>
      <c r="F116" s="150" t="str">
        <f>FHD_P_76</f>
        <v>Расход воды на хозяйственно-бытовые нужды</v>
      </c>
      <c r="G116" s="403" t="s">
        <v>1641</v>
      </c>
      <c r="H116" s="331"/>
      <c r="I116" s="331"/>
      <c r="J116" s="331"/>
      <c r="K116" s="331"/>
      <c r="L116" s="331"/>
      <c r="M116" s="331"/>
      <c r="N116" s="331"/>
      <c r="O116" s="331"/>
      <c r="P116" s="318"/>
      <c r="Q116" s="65"/>
      <c r="R116" s="65"/>
      <c r="S116" s="60"/>
      <c r="T116" s="60"/>
      <c r="U116" s="60"/>
      <c r="V116" s="60"/>
      <c r="W116" s="65"/>
      <c r="X116" s="60"/>
      <c r="Y116" s="60"/>
      <c r="Z116" s="319"/>
      <c r="AA116" s="60"/>
      <c r="AB116" s="60"/>
      <c r="AC116" s="60"/>
      <c r="AD116" s="60"/>
      <c r="AE116" s="60"/>
      <c r="AF116" s="6"/>
      <c r="AG116" s="6"/>
      <c r="AH116" s="6"/>
      <c r="AI116" s="6"/>
      <c r="AJ116" s="6"/>
    </row>
    <row r="117" spans="1:36" s="9" customFormat="1" ht="18.75" customHeight="1">
      <c r="A117" s="1403"/>
      <c r="B117" s="60"/>
      <c r="C117" s="65"/>
      <c r="D117" s="53"/>
      <c r="E117" s="321" t="str">
        <f>FHD_NUM_P_77</f>
        <v>15</v>
      </c>
      <c r="F117" s="150" t="str">
        <f>FHD_P_77</f>
        <v>Показатель использования производственных объектов (по объему перекачки), в том числе:</v>
      </c>
      <c r="G117" s="403" t="s">
        <v>1641</v>
      </c>
      <c r="H117" s="331"/>
      <c r="I117" s="331"/>
      <c r="J117" s="331"/>
      <c r="K117" s="331"/>
      <c r="L117" s="331"/>
      <c r="M117" s="331"/>
      <c r="N117" s="331"/>
      <c r="O117" s="331"/>
      <c r="P117" s="318"/>
      <c r="Q117" s="65"/>
      <c r="R117" s="65"/>
      <c r="S117" s="60"/>
      <c r="T117" s="60"/>
      <c r="U117" s="60"/>
      <c r="V117" s="60"/>
      <c r="W117" s="65"/>
      <c r="X117" s="60"/>
      <c r="Y117" s="60"/>
      <c r="Z117" s="319"/>
      <c r="AA117" s="60"/>
      <c r="AB117" s="60"/>
      <c r="AC117" s="60"/>
      <c r="AD117" s="60"/>
      <c r="AE117" s="60"/>
      <c r="AF117" s="6"/>
      <c r="AG117" s="6"/>
      <c r="AH117" s="6"/>
      <c r="AI117" s="6"/>
      <c r="AJ117" s="6"/>
    </row>
    <row r="118" spans="1:36" s="65" customFormat="1" ht="0.75" customHeight="1">
      <c r="A118" s="1403"/>
      <c r="D118" s="323"/>
      <c r="E118" s="326" t="str">
        <f>E117&amp;".0"</f>
        <v>15.0</v>
      </c>
      <c r="F118" s="596"/>
      <c r="G118" s="926"/>
      <c r="H118" s="593"/>
      <c r="I118" s="593"/>
      <c r="J118" s="593"/>
      <c r="K118" s="593"/>
      <c r="L118" s="593"/>
      <c r="M118" s="593"/>
      <c r="N118" s="593"/>
      <c r="O118" s="593"/>
    </row>
    <row r="119" spans="1:36" s="9" customFormat="1" ht="15" customHeight="1">
      <c r="A119" s="1403"/>
      <c r="B119" s="60"/>
      <c r="C119" s="65"/>
      <c r="D119" s="74"/>
      <c r="E119" s="574"/>
      <c r="F119" s="575" t="s">
        <v>1754</v>
      </c>
      <c r="G119" s="343"/>
      <c r="H119" s="344"/>
      <c r="I119" s="344"/>
      <c r="J119" s="344"/>
      <c r="K119" s="344"/>
      <c r="L119" s="344"/>
      <c r="M119" s="344"/>
      <c r="N119" s="344"/>
      <c r="O119" s="344"/>
      <c r="P119" s="318"/>
      <c r="Q119" s="65"/>
      <c r="R119" s="65"/>
      <c r="S119" s="60"/>
      <c r="T119" s="60"/>
      <c r="U119" s="60"/>
      <c r="V119" s="60"/>
      <c r="W119" s="65"/>
      <c r="X119" s="60"/>
      <c r="Y119" s="60"/>
      <c r="Z119" s="319"/>
      <c r="AA119" s="60"/>
      <c r="AB119" s="60"/>
      <c r="AC119" s="60"/>
      <c r="AD119" s="60"/>
      <c r="AE119" s="60"/>
      <c r="AF119" s="6"/>
      <c r="AG119" s="6"/>
      <c r="AH119" s="6"/>
      <c r="AI119" s="6"/>
      <c r="AJ119" s="6"/>
    </row>
    <row r="120" spans="1:36" ht="22.5" hidden="1" customHeight="1">
      <c r="A120" s="1403" t="s">
        <v>1755</v>
      </c>
      <c r="D120" s="53"/>
      <c r="E120" s="321" t="str">
        <f>FHD_NUM_P_78</f>
        <v/>
      </c>
      <c r="F120" s="150" t="str">
        <f>FHD_P_78</f>
        <v/>
      </c>
      <c r="G120" s="403" t="s">
        <v>1729</v>
      </c>
      <c r="H120" s="348"/>
      <c r="I120" s="348"/>
      <c r="J120" s="348"/>
      <c r="K120" s="348"/>
      <c r="L120" s="348"/>
      <c r="M120" s="348"/>
      <c r="N120" s="348"/>
      <c r="O120" s="348"/>
      <c r="P120" s="318"/>
    </row>
    <row r="121" spans="1:36" s="65" customFormat="1" ht="0.75" hidden="1" customHeight="1">
      <c r="A121" s="1403"/>
      <c r="D121" s="323"/>
      <c r="E121" s="326" t="str">
        <f>E120&amp;".0"</f>
        <v>.0</v>
      </c>
      <c r="F121" s="596"/>
      <c r="G121" s="926"/>
      <c r="H121" s="593"/>
      <c r="I121" s="593"/>
      <c r="J121" s="593"/>
      <c r="K121" s="593"/>
      <c r="L121" s="593"/>
      <c r="M121" s="593"/>
      <c r="N121" s="593"/>
      <c r="O121" s="593"/>
    </row>
    <row r="122" spans="1:36" ht="15" hidden="1" customHeight="1">
      <c r="A122" s="1403"/>
      <c r="D122" s="74"/>
      <c r="E122" s="342"/>
      <c r="F122" s="107" t="s">
        <v>1580</v>
      </c>
      <c r="G122" s="343"/>
      <c r="H122" s="344"/>
      <c r="I122" s="344"/>
      <c r="J122" s="344"/>
      <c r="K122" s="344"/>
      <c r="L122" s="344"/>
      <c r="M122" s="344"/>
      <c r="N122" s="344"/>
      <c r="O122" s="344"/>
      <c r="P122" s="318"/>
    </row>
    <row r="123" spans="1:36" ht="22.5" hidden="1" customHeight="1">
      <c r="A123" s="1403"/>
      <c r="D123" s="53"/>
      <c r="E123" s="321" t="str">
        <f>FHD_NUM_P_79</f>
        <v/>
      </c>
      <c r="F123" s="150" t="str">
        <f>FHD_P_79</f>
        <v/>
      </c>
      <c r="G123" s="39" t="s">
        <v>1730</v>
      </c>
      <c r="H123" s="348"/>
      <c r="I123" s="348"/>
      <c r="J123" s="348"/>
      <c r="K123" s="348"/>
      <c r="L123" s="348"/>
      <c r="M123" s="348"/>
      <c r="N123" s="348"/>
      <c r="O123" s="348"/>
      <c r="P123" s="318"/>
    </row>
    <row r="124" spans="1:36" s="65" customFormat="1" ht="0.75" hidden="1" customHeight="1">
      <c r="A124" s="1403"/>
      <c r="D124" s="323"/>
      <c r="E124" s="326" t="str">
        <f>E123&amp;".0"</f>
        <v>.0</v>
      </c>
      <c r="F124" s="597"/>
      <c r="G124" s="926"/>
      <c r="H124" s="593"/>
      <c r="I124" s="593"/>
      <c r="J124" s="593"/>
      <c r="K124" s="593"/>
      <c r="L124" s="593"/>
      <c r="M124" s="593"/>
      <c r="N124" s="593"/>
      <c r="O124" s="593"/>
    </row>
    <row r="125" spans="1:36" ht="15" hidden="1" customHeight="1">
      <c r="A125" s="1403"/>
      <c r="D125" s="74"/>
      <c r="E125" s="342"/>
      <c r="F125" s="107" t="s">
        <v>1580</v>
      </c>
      <c r="G125" s="343"/>
      <c r="H125" s="344"/>
      <c r="I125" s="344"/>
      <c r="J125" s="344"/>
      <c r="K125" s="344"/>
      <c r="L125" s="344"/>
      <c r="M125" s="344"/>
      <c r="N125" s="344"/>
      <c r="O125" s="344"/>
      <c r="P125" s="318"/>
    </row>
    <row r="126" spans="1:36" ht="22.5" hidden="1" customHeight="1">
      <c r="A126" s="1403"/>
      <c r="D126" s="53"/>
      <c r="E126" s="321" t="str">
        <f>FHD_NUM_P_80</f>
        <v/>
      </c>
      <c r="F126" s="150" t="str">
        <f>FHD_P_80</f>
        <v/>
      </c>
      <c r="G126" s="39" t="s">
        <v>1756</v>
      </c>
      <c r="H126" s="331"/>
      <c r="I126" s="331"/>
      <c r="J126" s="331"/>
      <c r="K126" s="331"/>
      <c r="L126" s="331"/>
      <c r="M126" s="331"/>
      <c r="N126" s="331"/>
      <c r="O126" s="331"/>
      <c r="P126" s="318"/>
    </row>
    <row r="127" spans="1:36" ht="18.75" hidden="1" customHeight="1">
      <c r="A127" s="1403"/>
      <c r="D127" s="53"/>
      <c r="E127" s="321" t="str">
        <f>FHD_NUM_P_81</f>
        <v/>
      </c>
      <c r="F127" s="150" t="str">
        <f>FHD_P_81</f>
        <v/>
      </c>
      <c r="G127" s="39" t="s">
        <v>1757</v>
      </c>
      <c r="H127" s="331"/>
      <c r="I127" s="331"/>
      <c r="J127" s="331"/>
      <c r="K127" s="331"/>
      <c r="L127" s="331"/>
      <c r="M127" s="331"/>
      <c r="N127" s="331"/>
      <c r="O127" s="331"/>
      <c r="P127" s="318"/>
    </row>
    <row r="128" spans="1:36" ht="18.75" hidden="1" customHeight="1">
      <c r="A128" s="1403"/>
      <c r="C128" s="65" t="s">
        <v>1747</v>
      </c>
      <c r="D128" s="53"/>
      <c r="E128" s="321" t="str">
        <f>FHD_NUM_P_82</f>
        <v/>
      </c>
      <c r="F128" s="150" t="str">
        <f>FHD_P_82</f>
        <v/>
      </c>
      <c r="G128" s="39" t="s">
        <v>308</v>
      </c>
      <c r="H128" s="241"/>
      <c r="I128" s="241"/>
      <c r="J128" s="241"/>
      <c r="K128" s="241"/>
      <c r="L128" s="241"/>
      <c r="M128" s="241"/>
      <c r="N128" s="241"/>
      <c r="O128" s="241"/>
      <c r="P128" s="318"/>
    </row>
    <row r="129" spans="1:36" ht="18.75" hidden="1" customHeight="1">
      <c r="A129" s="1403"/>
      <c r="C129" s="65" t="s">
        <v>1747</v>
      </c>
      <c r="D129" s="53"/>
      <c r="E129" s="321" t="str">
        <f>FHD_NUM_P_83</f>
        <v/>
      </c>
      <c r="F129" s="333" t="str">
        <f>FHD_P_83</f>
        <v/>
      </c>
      <c r="G129" s="39" t="s">
        <v>308</v>
      </c>
      <c r="H129" s="241"/>
      <c r="I129" s="241"/>
      <c r="J129" s="241"/>
      <c r="K129" s="241"/>
      <c r="L129" s="241"/>
      <c r="M129" s="241"/>
      <c r="N129" s="241"/>
      <c r="O129" s="241"/>
      <c r="P129" s="318"/>
    </row>
    <row r="130" spans="1:36" ht="18.75" hidden="1" customHeight="1">
      <c r="A130" s="1403"/>
      <c r="C130" s="65" t="s">
        <v>1747</v>
      </c>
      <c r="D130" s="53"/>
      <c r="E130" s="321" t="str">
        <f>FHD_NUM_P_84</f>
        <v/>
      </c>
      <c r="F130" s="333" t="str">
        <f>FHD_P_84</f>
        <v/>
      </c>
      <c r="G130" s="39" t="s">
        <v>308</v>
      </c>
      <c r="H130" s="241"/>
      <c r="I130" s="241"/>
      <c r="J130" s="241"/>
      <c r="K130" s="241"/>
      <c r="L130" s="241"/>
      <c r="M130" s="241"/>
      <c r="N130" s="241"/>
      <c r="O130" s="241"/>
      <c r="P130" s="318"/>
    </row>
    <row r="131" spans="1:36" ht="11.25" customHeight="1">
      <c r="D131" s="53"/>
    </row>
    <row r="132" spans="1:36" ht="12.75" customHeight="1">
      <c r="D132" s="53"/>
      <c r="E132" s="204"/>
      <c r="F132" s="1"/>
      <c r="G132" s="1"/>
      <c r="H132" s="1"/>
      <c r="I132" s="381"/>
      <c r="J132" s="1"/>
      <c r="K132" s="1"/>
      <c r="L132" s="1"/>
      <c r="M132" s="1"/>
      <c r="N132" s="1"/>
      <c r="O132" s="1"/>
    </row>
    <row r="133" spans="1:36" s="209" customFormat="1" ht="11.25" customHeight="1">
      <c r="A133" s="588"/>
      <c r="B133" s="65"/>
      <c r="C133" s="65"/>
      <c r="F133" s="122"/>
      <c r="G133" s="9"/>
      <c r="H133" s="9"/>
      <c r="I133" s="9"/>
      <c r="J133" s="9"/>
      <c r="K133" s="9"/>
      <c r="L133" s="9"/>
      <c r="M133" s="9"/>
      <c r="N133" s="9"/>
      <c r="O133" s="9"/>
      <c r="P133" s="60"/>
      <c r="Q133" s="65"/>
      <c r="R133" s="65"/>
      <c r="S133" s="60"/>
      <c r="T133" s="60"/>
      <c r="U133" s="60"/>
      <c r="V133" s="60"/>
      <c r="W133" s="65"/>
      <c r="X133" s="60"/>
      <c r="Y133" s="60"/>
      <c r="Z133" s="319"/>
      <c r="AA133" s="60"/>
      <c r="AB133" s="60"/>
      <c r="AC133" s="60"/>
      <c r="AD133" s="60"/>
      <c r="AE133" s="60"/>
      <c r="AF133" s="6"/>
      <c r="AG133" s="139"/>
      <c r="AH133" s="139"/>
      <c r="AI133" s="139"/>
      <c r="AJ133" s="139"/>
    </row>
    <row r="134" spans="1:36" s="209" customFormat="1" ht="11.25" customHeight="1">
      <c r="A134" s="588"/>
      <c r="B134" s="65"/>
      <c r="C134" s="65"/>
      <c r="P134" s="60"/>
      <c r="Q134" s="65"/>
      <c r="R134" s="65"/>
      <c r="S134" s="60"/>
      <c r="T134" s="60"/>
      <c r="U134" s="60"/>
      <c r="V134" s="60"/>
      <c r="W134" s="65"/>
      <c r="X134" s="60"/>
      <c r="Y134" s="60"/>
      <c r="Z134" s="319"/>
      <c r="AA134" s="60"/>
      <c r="AB134" s="60"/>
      <c r="AC134" s="60"/>
      <c r="AD134" s="60"/>
      <c r="AE134" s="60"/>
      <c r="AF134" s="6"/>
      <c r="AG134" s="139"/>
      <c r="AH134" s="139"/>
      <c r="AI134" s="139"/>
      <c r="AJ134" s="139"/>
    </row>
    <row r="135" spans="1:36" s="209" customFormat="1" ht="11.25" customHeight="1">
      <c r="A135" s="588"/>
      <c r="B135" s="65"/>
      <c r="C135" s="65"/>
      <c r="P135" s="60"/>
      <c r="Q135" s="65"/>
      <c r="R135" s="65"/>
      <c r="S135" s="60"/>
      <c r="T135" s="60"/>
      <c r="U135" s="60"/>
      <c r="V135" s="60"/>
      <c r="W135" s="65"/>
      <c r="X135" s="60"/>
      <c r="Y135" s="60"/>
      <c r="Z135" s="319"/>
      <c r="AA135" s="60"/>
      <c r="AB135" s="60"/>
      <c r="AC135" s="60"/>
      <c r="AD135" s="60"/>
      <c r="AE135" s="60"/>
      <c r="AF135" s="6"/>
      <c r="AG135" s="139"/>
      <c r="AH135" s="139"/>
      <c r="AI135" s="139"/>
      <c r="AJ135" s="139"/>
    </row>
    <row r="136" spans="1:36" s="209" customFormat="1" ht="11.25" customHeight="1">
      <c r="A136" s="588"/>
      <c r="B136" s="65"/>
      <c r="C136" s="65"/>
      <c r="H136" s="139" t="str">
        <f t="shared" ref="H136:O136" si="9">IF(H30-H31&lt;&gt;H72,"WARNING","")</f>
        <v/>
      </c>
      <c r="I136" s="139" t="str">
        <f t="shared" si="9"/>
        <v/>
      </c>
      <c r="J136" s="139" t="str">
        <f t="shared" si="9"/>
        <v/>
      </c>
      <c r="K136" s="139" t="str">
        <f t="shared" si="9"/>
        <v/>
      </c>
      <c r="L136" s="139" t="str">
        <f t="shared" si="9"/>
        <v/>
      </c>
      <c r="M136" s="139" t="str">
        <f t="shared" si="9"/>
        <v/>
      </c>
      <c r="N136" s="139" t="str">
        <f t="shared" si="9"/>
        <v/>
      </c>
      <c r="O136" s="139" t="str">
        <f t="shared" si="9"/>
        <v/>
      </c>
      <c r="P136" s="60"/>
      <c r="Q136" s="65"/>
      <c r="R136" s="65"/>
      <c r="S136" s="60"/>
      <c r="T136" s="60"/>
      <c r="U136" s="60"/>
      <c r="V136" s="60"/>
      <c r="W136" s="65"/>
      <c r="X136" s="60"/>
      <c r="Y136" s="60"/>
      <c r="Z136" s="319"/>
      <c r="AA136" s="60"/>
      <c r="AB136" s="60"/>
      <c r="AC136" s="60"/>
      <c r="AD136" s="60"/>
      <c r="AE136" s="60"/>
      <c r="AF136" s="6"/>
      <c r="AG136" s="139"/>
      <c r="AH136" s="139"/>
      <c r="AI136" s="139"/>
      <c r="AJ136" s="139"/>
    </row>
    <row r="137" spans="1:36" s="209" customFormat="1" ht="11.25" customHeight="1">
      <c r="A137" s="588"/>
      <c r="B137" s="65"/>
      <c r="C137" s="65"/>
      <c r="P137" s="60"/>
      <c r="Q137" s="65"/>
      <c r="R137" s="65"/>
      <c r="S137" s="60"/>
      <c r="T137" s="60"/>
      <c r="U137" s="60"/>
      <c r="V137" s="60"/>
      <c r="W137" s="65"/>
      <c r="X137" s="60"/>
      <c r="Y137" s="60"/>
      <c r="Z137" s="319"/>
      <c r="AA137" s="60"/>
      <c r="AB137" s="60"/>
      <c r="AC137" s="60"/>
      <c r="AD137" s="60"/>
      <c r="AE137" s="60"/>
      <c r="AF137" s="6"/>
      <c r="AG137" s="139"/>
      <c r="AH137" s="139"/>
      <c r="AI137" s="139"/>
      <c r="AJ137" s="139"/>
    </row>
    <row r="138" spans="1:36" s="209" customFormat="1" ht="11.25" customHeight="1">
      <c r="A138" s="588"/>
      <c r="B138" s="65"/>
      <c r="C138" s="65"/>
      <c r="P138" s="60"/>
      <c r="Q138" s="65"/>
      <c r="R138" s="65"/>
      <c r="S138" s="60"/>
      <c r="T138" s="60"/>
      <c r="U138" s="60"/>
      <c r="V138" s="60"/>
      <c r="W138" s="65"/>
      <c r="X138" s="60"/>
      <c r="Y138" s="60"/>
      <c r="Z138" s="319"/>
      <c r="AA138" s="60"/>
      <c r="AB138" s="60"/>
      <c r="AC138" s="60"/>
      <c r="AD138" s="60"/>
      <c r="AE138" s="60"/>
      <c r="AF138" s="6"/>
      <c r="AG138" s="139"/>
      <c r="AH138" s="139"/>
      <c r="AI138" s="139"/>
      <c r="AJ138" s="139"/>
    </row>
    <row r="139" spans="1:36" s="209" customFormat="1" ht="11.25" customHeight="1">
      <c r="A139" s="588"/>
      <c r="B139" s="65"/>
      <c r="C139" s="65"/>
      <c r="P139" s="60"/>
      <c r="Q139" s="65"/>
      <c r="R139" s="65"/>
      <c r="S139" s="60"/>
      <c r="T139" s="60"/>
      <c r="U139" s="60"/>
      <c r="V139" s="60"/>
      <c r="W139" s="65"/>
      <c r="X139" s="60"/>
      <c r="Y139" s="60"/>
      <c r="Z139" s="319"/>
      <c r="AA139" s="60"/>
      <c r="AB139" s="60"/>
      <c r="AC139" s="60"/>
      <c r="AD139" s="60"/>
      <c r="AE139" s="60"/>
      <c r="AF139" s="6"/>
      <c r="AG139" s="139"/>
      <c r="AH139" s="139"/>
      <c r="AI139" s="139"/>
      <c r="AJ139" s="139"/>
    </row>
    <row r="140" spans="1:36" s="209" customFormat="1" ht="11.25" customHeight="1">
      <c r="A140" s="588"/>
      <c r="B140" s="65"/>
      <c r="C140" s="65"/>
      <c r="P140" s="60"/>
      <c r="Q140" s="65"/>
      <c r="R140" s="65"/>
      <c r="S140" s="60"/>
      <c r="T140" s="60"/>
      <c r="U140" s="60"/>
      <c r="V140" s="60"/>
      <c r="W140" s="65"/>
      <c r="X140" s="60"/>
      <c r="Y140" s="60"/>
      <c r="Z140" s="319"/>
      <c r="AA140" s="60"/>
      <c r="AB140" s="60"/>
      <c r="AC140" s="60"/>
      <c r="AD140" s="60"/>
      <c r="AE140" s="60"/>
      <c r="AF140" s="6"/>
      <c r="AG140" s="139"/>
      <c r="AH140" s="139"/>
      <c r="AI140" s="139"/>
      <c r="AJ140" s="139"/>
    </row>
    <row r="141" spans="1:36" s="209" customFormat="1" ht="11.25" customHeight="1">
      <c r="A141" s="588"/>
      <c r="B141" s="65"/>
      <c r="C141" s="65"/>
      <c r="P141" s="60"/>
      <c r="Q141" s="65"/>
      <c r="R141" s="65"/>
      <c r="S141" s="60"/>
      <c r="T141" s="60"/>
      <c r="U141" s="60"/>
      <c r="V141" s="60"/>
      <c r="W141" s="65"/>
      <c r="X141" s="60"/>
      <c r="Y141" s="60"/>
      <c r="Z141" s="319"/>
      <c r="AA141" s="60"/>
      <c r="AB141" s="60"/>
      <c r="AC141" s="60"/>
      <c r="AD141" s="60"/>
      <c r="AE141" s="60"/>
      <c r="AF141" s="6"/>
      <c r="AG141" s="139"/>
      <c r="AH141" s="139"/>
      <c r="AI141" s="139"/>
      <c r="AJ141" s="139"/>
    </row>
    <row r="142" spans="1:36" s="209" customFormat="1" ht="11.25" customHeight="1">
      <c r="A142" s="588"/>
      <c r="B142" s="65"/>
      <c r="C142" s="65"/>
      <c r="P142" s="60"/>
      <c r="Q142" s="65"/>
      <c r="R142" s="65"/>
      <c r="S142" s="60"/>
      <c r="T142" s="60"/>
      <c r="U142" s="60"/>
      <c r="V142" s="60"/>
      <c r="W142" s="65"/>
      <c r="X142" s="60"/>
      <c r="Y142" s="60"/>
      <c r="Z142" s="319"/>
      <c r="AA142" s="60"/>
      <c r="AB142" s="60"/>
      <c r="AC142" s="60"/>
      <c r="AD142" s="60"/>
      <c r="AE142" s="60"/>
      <c r="AF142" s="6"/>
      <c r="AG142" s="139"/>
      <c r="AH142" s="139"/>
      <c r="AI142" s="139"/>
      <c r="AJ142" s="139"/>
    </row>
    <row r="143" spans="1:36" s="209" customFormat="1" ht="11.25" customHeight="1">
      <c r="A143" s="588"/>
      <c r="B143" s="65"/>
      <c r="C143" s="65"/>
      <c r="P143" s="60"/>
      <c r="Q143" s="65"/>
      <c r="R143" s="65"/>
      <c r="S143" s="60"/>
      <c r="T143" s="60"/>
      <c r="U143" s="60"/>
      <c r="V143" s="60"/>
      <c r="W143" s="65"/>
      <c r="X143" s="60"/>
      <c r="Y143" s="60"/>
      <c r="Z143" s="319"/>
      <c r="AA143" s="60"/>
      <c r="AB143" s="60"/>
      <c r="AC143" s="60"/>
      <c r="AD143" s="60"/>
      <c r="AE143" s="60"/>
      <c r="AF143" s="6"/>
      <c r="AG143" s="139"/>
      <c r="AH143" s="139"/>
      <c r="AI143" s="139"/>
      <c r="AJ143" s="139"/>
    </row>
    <row r="144" spans="1:36" s="209" customFormat="1" ht="11.25" customHeight="1">
      <c r="A144" s="588"/>
      <c r="B144" s="65"/>
      <c r="C144" s="65"/>
      <c r="P144" s="60"/>
      <c r="Q144" s="65"/>
      <c r="R144" s="65"/>
      <c r="S144" s="60"/>
      <c r="T144" s="60"/>
      <c r="U144" s="60"/>
      <c r="V144" s="60"/>
      <c r="W144" s="65"/>
      <c r="X144" s="60"/>
      <c r="Y144" s="60"/>
      <c r="Z144" s="319"/>
      <c r="AA144" s="60"/>
      <c r="AB144" s="60"/>
      <c r="AC144" s="60"/>
      <c r="AD144" s="60"/>
      <c r="AE144" s="60"/>
      <c r="AF144" s="6"/>
      <c r="AG144" s="139"/>
      <c r="AH144" s="139"/>
      <c r="AI144" s="139"/>
      <c r="AJ144" s="139"/>
    </row>
    <row r="145" spans="1:36" s="209" customFormat="1" ht="11.25" customHeight="1">
      <c r="A145" s="588"/>
      <c r="B145" s="65"/>
      <c r="C145" s="65"/>
      <c r="P145" s="60"/>
      <c r="Q145" s="65"/>
      <c r="R145" s="65"/>
      <c r="S145" s="60"/>
      <c r="T145" s="60"/>
      <c r="U145" s="60"/>
      <c r="V145" s="60"/>
      <c r="W145" s="65"/>
      <c r="X145" s="60"/>
      <c r="Y145" s="60"/>
      <c r="Z145" s="319"/>
      <c r="AA145" s="60"/>
      <c r="AB145" s="60"/>
      <c r="AC145" s="60"/>
      <c r="AD145" s="60"/>
      <c r="AE145" s="60"/>
      <c r="AF145" s="6"/>
      <c r="AG145" s="139"/>
      <c r="AH145" s="139"/>
      <c r="AI145" s="139"/>
      <c r="AJ145" s="139"/>
    </row>
    <row r="146" spans="1:36" s="209" customFormat="1" ht="11.25" customHeight="1">
      <c r="A146" s="588"/>
      <c r="B146" s="65"/>
      <c r="C146" s="65"/>
      <c r="P146" s="60"/>
      <c r="Q146" s="65"/>
      <c r="R146" s="65"/>
      <c r="S146" s="60"/>
      <c r="T146" s="60"/>
      <c r="U146" s="60"/>
      <c r="V146" s="60"/>
      <c r="W146" s="65"/>
      <c r="X146" s="60"/>
      <c r="Y146" s="60"/>
      <c r="Z146" s="319"/>
      <c r="AA146" s="60"/>
      <c r="AB146" s="60"/>
      <c r="AC146" s="60"/>
      <c r="AD146" s="60"/>
      <c r="AE146" s="60"/>
      <c r="AF146" s="6"/>
      <c r="AG146" s="139"/>
      <c r="AH146" s="139"/>
      <c r="AI146" s="139"/>
      <c r="AJ146" s="139"/>
    </row>
    <row r="147" spans="1:36" s="209" customFormat="1" ht="11.25" customHeight="1">
      <c r="A147" s="588"/>
      <c r="B147" s="65"/>
      <c r="C147" s="65"/>
      <c r="P147" s="60"/>
      <c r="Q147" s="65"/>
      <c r="R147" s="65"/>
      <c r="S147" s="60"/>
      <c r="T147" s="60"/>
      <c r="U147" s="60"/>
      <c r="V147" s="60"/>
      <c r="W147" s="65"/>
      <c r="X147" s="60"/>
      <c r="Y147" s="60"/>
      <c r="Z147" s="319"/>
      <c r="AA147" s="60"/>
      <c r="AB147" s="60"/>
      <c r="AC147" s="60"/>
      <c r="AD147" s="60"/>
      <c r="AE147" s="60"/>
      <c r="AF147" s="6"/>
      <c r="AG147" s="139"/>
      <c r="AH147" s="139"/>
      <c r="AI147" s="139"/>
      <c r="AJ147" s="139"/>
    </row>
    <row r="148" spans="1:36" s="209" customFormat="1" ht="11.25" customHeight="1">
      <c r="A148" s="588"/>
      <c r="B148" s="65"/>
      <c r="C148" s="65"/>
      <c r="P148" s="60"/>
      <c r="Q148" s="65"/>
      <c r="R148" s="65"/>
      <c r="S148" s="60"/>
      <c r="T148" s="60"/>
      <c r="U148" s="60"/>
      <c r="V148" s="60"/>
      <c r="W148" s="65"/>
      <c r="X148" s="60"/>
      <c r="Y148" s="60"/>
      <c r="Z148" s="319"/>
      <c r="AA148" s="60"/>
      <c r="AB148" s="60"/>
      <c r="AC148" s="60"/>
      <c r="AD148" s="60"/>
      <c r="AE148" s="60"/>
      <c r="AF148" s="6"/>
      <c r="AG148" s="139"/>
      <c r="AH148" s="139"/>
      <c r="AI148" s="139"/>
      <c r="AJ148" s="139"/>
    </row>
    <row r="149" spans="1:36" s="209" customFormat="1" ht="11.25" customHeight="1">
      <c r="A149" s="588"/>
      <c r="B149" s="65"/>
      <c r="C149" s="65"/>
      <c r="P149" s="60"/>
      <c r="Q149" s="65"/>
      <c r="R149" s="65"/>
      <c r="S149" s="60"/>
      <c r="T149" s="60"/>
      <c r="U149" s="60"/>
      <c r="V149" s="60"/>
      <c r="W149" s="65"/>
      <c r="X149" s="60"/>
      <c r="Y149" s="60"/>
      <c r="Z149" s="319"/>
      <c r="AA149" s="60"/>
      <c r="AB149" s="60"/>
      <c r="AC149" s="60"/>
      <c r="AD149" s="60"/>
      <c r="AE149" s="60"/>
      <c r="AF149" s="6"/>
      <c r="AG149" s="139"/>
      <c r="AH149" s="139"/>
      <c r="AI149" s="139"/>
      <c r="AJ149" s="139"/>
    </row>
    <row r="150" spans="1:36" s="209" customFormat="1" ht="11.25" customHeight="1">
      <c r="A150" s="588"/>
      <c r="B150" s="65"/>
      <c r="C150" s="65"/>
      <c r="P150" s="60"/>
      <c r="Q150" s="65"/>
      <c r="R150" s="65"/>
      <c r="S150" s="60"/>
      <c r="T150" s="60"/>
      <c r="U150" s="60"/>
      <c r="V150" s="60"/>
      <c r="W150" s="65"/>
      <c r="X150" s="60"/>
      <c r="Y150" s="60"/>
      <c r="Z150" s="319"/>
      <c r="AA150" s="60"/>
      <c r="AB150" s="60"/>
      <c r="AC150" s="60"/>
      <c r="AD150" s="60"/>
      <c r="AE150" s="60"/>
      <c r="AF150" s="6"/>
      <c r="AG150" s="139"/>
      <c r="AH150" s="139"/>
      <c r="AI150" s="139"/>
      <c r="AJ150" s="139"/>
    </row>
    <row r="151" spans="1:36" s="209" customFormat="1" ht="11.25" customHeight="1">
      <c r="A151" s="588"/>
      <c r="B151" s="65"/>
      <c r="C151" s="65"/>
      <c r="P151" s="60"/>
      <c r="Q151" s="65"/>
      <c r="R151" s="65"/>
      <c r="S151" s="60"/>
      <c r="T151" s="60"/>
      <c r="U151" s="60"/>
      <c r="V151" s="60"/>
      <c r="W151" s="65"/>
      <c r="X151" s="60"/>
      <c r="Y151" s="60"/>
      <c r="Z151" s="319"/>
      <c r="AA151" s="60"/>
      <c r="AB151" s="60"/>
      <c r="AC151" s="60"/>
      <c r="AD151" s="60"/>
      <c r="AE151" s="60"/>
      <c r="AF151" s="6"/>
      <c r="AG151" s="139"/>
      <c r="AH151" s="139"/>
      <c r="AI151" s="139"/>
      <c r="AJ151" s="139"/>
    </row>
    <row r="152" spans="1:36" s="209" customFormat="1" ht="11.25" customHeight="1">
      <c r="A152" s="588"/>
      <c r="B152" s="65"/>
      <c r="C152" s="65"/>
      <c r="P152" s="60"/>
      <c r="Q152" s="65"/>
      <c r="R152" s="65"/>
      <c r="S152" s="60"/>
      <c r="T152" s="60"/>
      <c r="U152" s="60"/>
      <c r="V152" s="60"/>
      <c r="W152" s="65"/>
      <c r="X152" s="60"/>
      <c r="Y152" s="60"/>
      <c r="Z152" s="319"/>
      <c r="AA152" s="60"/>
      <c r="AB152" s="60"/>
      <c r="AC152" s="60"/>
      <c r="AD152" s="60"/>
      <c r="AE152" s="60"/>
      <c r="AF152" s="6"/>
      <c r="AG152" s="139"/>
      <c r="AH152" s="139"/>
      <c r="AI152" s="139"/>
      <c r="AJ152" s="139"/>
    </row>
    <row r="153" spans="1:36" s="209" customFormat="1" ht="11.25" customHeight="1">
      <c r="A153" s="588"/>
      <c r="B153" s="65"/>
      <c r="C153" s="65"/>
      <c r="P153" s="60"/>
      <c r="Q153" s="65"/>
      <c r="R153" s="65"/>
      <c r="S153" s="60"/>
      <c r="T153" s="60"/>
      <c r="U153" s="60"/>
      <c r="V153" s="60"/>
      <c r="W153" s="65"/>
      <c r="X153" s="60"/>
      <c r="Y153" s="60"/>
      <c r="Z153" s="319"/>
      <c r="AA153" s="60"/>
      <c r="AB153" s="60"/>
      <c r="AC153" s="60"/>
      <c r="AD153" s="60"/>
      <c r="AE153" s="60"/>
      <c r="AF153" s="6"/>
      <c r="AG153" s="139"/>
      <c r="AH153" s="139"/>
      <c r="AI153" s="139"/>
      <c r="AJ153" s="139"/>
    </row>
    <row r="154" spans="1:36" s="209" customFormat="1" ht="11.25" customHeight="1">
      <c r="A154" s="588"/>
      <c r="B154" s="65"/>
      <c r="C154" s="65"/>
      <c r="P154" s="60"/>
      <c r="Q154" s="65"/>
      <c r="R154" s="65"/>
      <c r="S154" s="60"/>
      <c r="T154" s="60"/>
      <c r="U154" s="60"/>
      <c r="V154" s="60"/>
      <c r="W154" s="65"/>
      <c r="X154" s="60"/>
      <c r="Y154" s="60"/>
      <c r="Z154" s="319"/>
      <c r="AA154" s="60"/>
      <c r="AB154" s="60"/>
      <c r="AC154" s="60"/>
      <c r="AD154" s="60"/>
      <c r="AE154" s="60"/>
      <c r="AF154" s="6"/>
      <c r="AG154" s="139"/>
      <c r="AH154" s="139"/>
      <c r="AI154" s="139"/>
      <c r="AJ154" s="139"/>
    </row>
    <row r="155" spans="1:36" s="209" customFormat="1" ht="11.25" customHeight="1">
      <c r="A155" s="588"/>
      <c r="B155" s="65"/>
      <c r="C155" s="65"/>
      <c r="P155" s="60"/>
      <c r="Q155" s="65"/>
      <c r="R155" s="65"/>
      <c r="S155" s="60"/>
      <c r="T155" s="60"/>
      <c r="U155" s="60"/>
      <c r="V155" s="60"/>
      <c r="W155" s="65"/>
      <c r="X155" s="60"/>
      <c r="Y155" s="60"/>
      <c r="Z155" s="319"/>
      <c r="AA155" s="60"/>
      <c r="AB155" s="60"/>
      <c r="AC155" s="60"/>
      <c r="AD155" s="60"/>
      <c r="AE155" s="60"/>
      <c r="AF155" s="6"/>
      <c r="AG155" s="139"/>
      <c r="AH155" s="139"/>
      <c r="AI155" s="139"/>
      <c r="AJ155" s="139"/>
    </row>
    <row r="156" spans="1:36" s="209" customFormat="1" ht="11.25" customHeight="1">
      <c r="A156" s="588"/>
      <c r="B156" s="65"/>
      <c r="C156" s="65"/>
      <c r="P156" s="60"/>
      <c r="Q156" s="65"/>
      <c r="R156" s="65"/>
      <c r="S156" s="60"/>
      <c r="T156" s="60"/>
      <c r="U156" s="60"/>
      <c r="V156" s="60"/>
      <c r="W156" s="65"/>
      <c r="X156" s="60"/>
      <c r="Y156" s="60"/>
      <c r="Z156" s="319"/>
      <c r="AA156" s="60"/>
      <c r="AB156" s="60"/>
      <c r="AC156" s="60"/>
      <c r="AD156" s="60"/>
      <c r="AE156" s="60"/>
      <c r="AF156" s="6"/>
      <c r="AG156" s="139"/>
      <c r="AH156" s="139"/>
      <c r="AI156" s="139"/>
      <c r="AJ156" s="139"/>
    </row>
    <row r="157" spans="1:36" s="209" customFormat="1" ht="11.25" customHeight="1">
      <c r="A157" s="588"/>
      <c r="B157" s="65"/>
      <c r="C157" s="65"/>
      <c r="P157" s="60"/>
      <c r="Q157" s="65"/>
      <c r="R157" s="65"/>
      <c r="S157" s="60"/>
      <c r="T157" s="60"/>
      <c r="U157" s="60"/>
      <c r="V157" s="60"/>
      <c r="W157" s="65"/>
      <c r="X157" s="60"/>
      <c r="Y157" s="60"/>
      <c r="Z157" s="319"/>
      <c r="AA157" s="60"/>
      <c r="AB157" s="60"/>
      <c r="AC157" s="60"/>
      <c r="AD157" s="60"/>
      <c r="AE157" s="60"/>
      <c r="AF157" s="6"/>
      <c r="AG157" s="139"/>
      <c r="AH157" s="139"/>
      <c r="AI157" s="139"/>
      <c r="AJ157" s="139"/>
    </row>
    <row r="158" spans="1:36" s="209" customFormat="1" ht="11.25" customHeight="1">
      <c r="A158" s="588"/>
      <c r="B158" s="65"/>
      <c r="C158" s="65"/>
      <c r="P158" s="60"/>
      <c r="Q158" s="65"/>
      <c r="R158" s="65"/>
      <c r="S158" s="60"/>
      <c r="T158" s="60"/>
      <c r="U158" s="60"/>
      <c r="V158" s="60"/>
      <c r="W158" s="65"/>
      <c r="X158" s="60"/>
      <c r="Y158" s="60"/>
      <c r="Z158" s="319"/>
      <c r="AA158" s="60"/>
      <c r="AB158" s="60"/>
      <c r="AC158" s="60"/>
      <c r="AD158" s="60"/>
      <c r="AE158" s="60"/>
      <c r="AF158" s="6"/>
      <c r="AG158" s="139"/>
      <c r="AH158" s="139"/>
      <c r="AI158" s="139"/>
      <c r="AJ158" s="139"/>
    </row>
    <row r="159" spans="1:36" s="209" customFormat="1" ht="11.25" customHeight="1">
      <c r="A159" s="588"/>
      <c r="B159" s="65"/>
      <c r="C159" s="65"/>
      <c r="P159" s="60"/>
      <c r="Q159" s="65"/>
      <c r="R159" s="65"/>
      <c r="S159" s="60"/>
      <c r="T159" s="60"/>
      <c r="U159" s="60"/>
      <c r="V159" s="60"/>
      <c r="W159" s="65"/>
      <c r="X159" s="60"/>
      <c r="Y159" s="60"/>
      <c r="Z159" s="319"/>
      <c r="AA159" s="60"/>
      <c r="AB159" s="60"/>
      <c r="AC159" s="60"/>
      <c r="AD159" s="60"/>
      <c r="AE159" s="60"/>
      <c r="AF159" s="6"/>
      <c r="AG159" s="139"/>
      <c r="AH159" s="139"/>
      <c r="AI159" s="139"/>
      <c r="AJ159" s="139"/>
    </row>
    <row r="160" spans="1:36" s="209" customFormat="1" ht="11.25" customHeight="1">
      <c r="A160" s="588"/>
      <c r="B160" s="65"/>
      <c r="C160" s="65"/>
      <c r="P160" s="60"/>
      <c r="Q160" s="65"/>
      <c r="R160" s="65"/>
      <c r="S160" s="60"/>
      <c r="T160" s="60"/>
      <c r="U160" s="60"/>
      <c r="V160" s="60"/>
      <c r="W160" s="65"/>
      <c r="X160" s="60"/>
      <c r="Y160" s="60"/>
      <c r="Z160" s="319"/>
      <c r="AA160" s="60"/>
      <c r="AB160" s="60"/>
      <c r="AC160" s="60"/>
      <c r="AD160" s="60"/>
      <c r="AE160" s="60"/>
      <c r="AF160" s="6"/>
      <c r="AG160" s="139"/>
      <c r="AH160" s="139"/>
      <c r="AI160" s="139"/>
      <c r="AJ160" s="139"/>
    </row>
    <row r="161" spans="1:36" s="209" customFormat="1" ht="11.25" customHeight="1">
      <c r="A161" s="588"/>
      <c r="B161" s="65"/>
      <c r="C161" s="65"/>
      <c r="P161" s="60"/>
      <c r="Q161" s="65"/>
      <c r="R161" s="65"/>
      <c r="S161" s="60"/>
      <c r="T161" s="60"/>
      <c r="U161" s="60"/>
      <c r="V161" s="60"/>
      <c r="W161" s="65"/>
      <c r="X161" s="60"/>
      <c r="Y161" s="60"/>
      <c r="Z161" s="319"/>
      <c r="AA161" s="60"/>
      <c r="AB161" s="60"/>
      <c r="AC161" s="60"/>
      <c r="AD161" s="60"/>
      <c r="AE161" s="60"/>
      <c r="AF161" s="6"/>
      <c r="AG161" s="139"/>
      <c r="AH161" s="139"/>
      <c r="AI161" s="139"/>
      <c r="AJ161" s="139"/>
    </row>
    <row r="162" spans="1:36" s="209" customFormat="1" ht="11.25" customHeight="1">
      <c r="A162" s="588"/>
      <c r="B162" s="65"/>
      <c r="C162" s="65"/>
      <c r="P162" s="60"/>
      <c r="Q162" s="65"/>
      <c r="R162" s="65"/>
      <c r="S162" s="60"/>
      <c r="T162" s="60"/>
      <c r="U162" s="60"/>
      <c r="V162" s="60"/>
      <c r="W162" s="65"/>
      <c r="X162" s="60"/>
      <c r="Y162" s="60"/>
      <c r="Z162" s="319"/>
      <c r="AA162" s="60"/>
      <c r="AB162" s="60"/>
      <c r="AC162" s="60"/>
      <c r="AD162" s="60"/>
      <c r="AE162" s="60"/>
      <c r="AF162" s="6"/>
      <c r="AG162" s="139"/>
      <c r="AH162" s="139"/>
      <c r="AI162" s="139"/>
      <c r="AJ162" s="139"/>
    </row>
    <row r="163" spans="1:36" s="209" customFormat="1" ht="11.25" customHeight="1">
      <c r="A163" s="588"/>
      <c r="B163" s="65"/>
      <c r="C163" s="65"/>
      <c r="P163" s="60"/>
      <c r="Q163" s="65"/>
      <c r="R163" s="65"/>
      <c r="S163" s="60"/>
      <c r="T163" s="60"/>
      <c r="U163" s="60"/>
      <c r="V163" s="60"/>
      <c r="W163" s="65"/>
      <c r="X163" s="60"/>
      <c r="Y163" s="60"/>
      <c r="Z163" s="319"/>
      <c r="AA163" s="60"/>
      <c r="AB163" s="60"/>
      <c r="AC163" s="60"/>
      <c r="AD163" s="60"/>
      <c r="AE163" s="60"/>
      <c r="AF163" s="6"/>
      <c r="AG163" s="139"/>
      <c r="AH163" s="139"/>
      <c r="AI163" s="139"/>
      <c r="AJ163" s="139"/>
    </row>
    <row r="164" spans="1:36" s="209" customFormat="1" ht="11.25" customHeight="1">
      <c r="A164" s="588"/>
      <c r="B164" s="65"/>
      <c r="C164" s="65"/>
      <c r="P164" s="60"/>
      <c r="Q164" s="65"/>
      <c r="R164" s="65"/>
      <c r="S164" s="60"/>
      <c r="T164" s="60"/>
      <c r="U164" s="60"/>
      <c r="V164" s="60"/>
      <c r="W164" s="65"/>
      <c r="X164" s="60"/>
      <c r="Y164" s="60"/>
      <c r="Z164" s="319"/>
      <c r="AA164" s="60"/>
      <c r="AB164" s="60"/>
      <c r="AC164" s="60"/>
      <c r="AD164" s="60"/>
      <c r="AE164" s="60"/>
      <c r="AF164" s="6"/>
      <c r="AG164" s="139"/>
      <c r="AH164" s="139"/>
      <c r="AI164" s="139"/>
      <c r="AJ164" s="139"/>
    </row>
    <row r="165" spans="1:36" s="209" customFormat="1" ht="11.25" customHeight="1">
      <c r="A165" s="588"/>
      <c r="B165" s="65"/>
      <c r="C165" s="65"/>
      <c r="P165" s="60"/>
      <c r="Q165" s="65"/>
      <c r="R165" s="65"/>
      <c r="S165" s="60"/>
      <c r="T165" s="60"/>
      <c r="U165" s="60"/>
      <c r="V165" s="60"/>
      <c r="W165" s="65"/>
      <c r="X165" s="60"/>
      <c r="Y165" s="60"/>
      <c r="Z165" s="319"/>
      <c r="AA165" s="60"/>
      <c r="AB165" s="60"/>
      <c r="AC165" s="60"/>
      <c r="AD165" s="60"/>
      <c r="AE165" s="60"/>
      <c r="AF165" s="6"/>
      <c r="AG165" s="139"/>
      <c r="AH165" s="139"/>
      <c r="AI165" s="139"/>
      <c r="AJ165" s="139"/>
    </row>
    <row r="166" spans="1:36" s="209" customFormat="1" ht="11.25" customHeight="1">
      <c r="A166" s="588"/>
      <c r="B166" s="65"/>
      <c r="C166" s="65"/>
      <c r="P166" s="60"/>
      <c r="Q166" s="65"/>
      <c r="R166" s="65"/>
      <c r="S166" s="60"/>
      <c r="T166" s="60"/>
      <c r="U166" s="60"/>
      <c r="V166" s="60"/>
      <c r="W166" s="65"/>
      <c r="X166" s="60"/>
      <c r="Y166" s="60"/>
      <c r="Z166" s="319"/>
      <c r="AA166" s="60"/>
      <c r="AB166" s="60"/>
      <c r="AC166" s="60"/>
      <c r="AD166" s="60"/>
      <c r="AE166" s="60"/>
      <c r="AF166" s="6"/>
      <c r="AG166" s="139"/>
      <c r="AH166" s="139"/>
      <c r="AI166" s="139"/>
      <c r="AJ166" s="139"/>
    </row>
    <row r="167" spans="1:36" s="209" customFormat="1" ht="11.25" customHeight="1">
      <c r="A167" s="588"/>
      <c r="B167" s="65"/>
      <c r="C167" s="65"/>
      <c r="P167" s="60"/>
      <c r="Q167" s="65"/>
      <c r="R167" s="65"/>
      <c r="S167" s="60"/>
      <c r="T167" s="60"/>
      <c r="U167" s="60"/>
      <c r="V167" s="60"/>
      <c r="W167" s="65"/>
      <c r="X167" s="60"/>
      <c r="Y167" s="60"/>
      <c r="Z167" s="319"/>
      <c r="AA167" s="60"/>
      <c r="AB167" s="60"/>
      <c r="AC167" s="60"/>
      <c r="AD167" s="60"/>
      <c r="AE167" s="60"/>
      <c r="AF167" s="6"/>
      <c r="AG167" s="139"/>
      <c r="AH167" s="139"/>
      <c r="AI167" s="139"/>
      <c r="AJ167" s="139"/>
    </row>
    <row r="168" spans="1:36" s="209" customFormat="1" ht="11.25" customHeight="1">
      <c r="A168" s="588"/>
      <c r="B168" s="65"/>
      <c r="C168" s="65"/>
      <c r="P168" s="60"/>
      <c r="Q168" s="65"/>
      <c r="R168" s="65"/>
      <c r="S168" s="60"/>
      <c r="T168" s="60"/>
      <c r="U168" s="60"/>
      <c r="V168" s="60"/>
      <c r="W168" s="65"/>
      <c r="X168" s="60"/>
      <c r="Y168" s="60"/>
      <c r="Z168" s="319"/>
      <c r="AA168" s="60"/>
      <c r="AB168" s="60"/>
      <c r="AC168" s="60"/>
      <c r="AD168" s="60"/>
      <c r="AE168" s="60"/>
      <c r="AF168" s="6"/>
      <c r="AG168" s="139"/>
      <c r="AH168" s="139"/>
      <c r="AI168" s="139"/>
      <c r="AJ168" s="139"/>
    </row>
    <row r="169" spans="1:36" s="209" customFormat="1" ht="11.25" customHeight="1">
      <c r="A169" s="588"/>
      <c r="B169" s="65"/>
      <c r="C169" s="65"/>
      <c r="P169" s="60"/>
      <c r="Q169" s="65"/>
      <c r="R169" s="65"/>
      <c r="S169" s="60"/>
      <c r="T169" s="60"/>
      <c r="U169" s="60"/>
      <c r="V169" s="60"/>
      <c r="W169" s="65"/>
      <c r="X169" s="60"/>
      <c r="Y169" s="60"/>
      <c r="Z169" s="319"/>
      <c r="AA169" s="60"/>
      <c r="AB169" s="60"/>
      <c r="AC169" s="60"/>
      <c r="AD169" s="60"/>
      <c r="AE169" s="60"/>
      <c r="AF169" s="6"/>
      <c r="AG169" s="139"/>
      <c r="AH169" s="139"/>
      <c r="AI169" s="139"/>
      <c r="AJ169" s="139"/>
    </row>
    <row r="170" spans="1:36" s="209" customFormat="1" ht="11.25" customHeight="1">
      <c r="A170" s="588"/>
      <c r="B170" s="65"/>
      <c r="C170" s="65"/>
      <c r="P170" s="60"/>
      <c r="Q170" s="65"/>
      <c r="R170" s="65"/>
      <c r="S170" s="60"/>
      <c r="T170" s="60"/>
      <c r="U170" s="60"/>
      <c r="V170" s="60"/>
      <c r="W170" s="65"/>
      <c r="X170" s="60"/>
      <c r="Y170" s="60"/>
      <c r="Z170" s="319"/>
      <c r="AA170" s="60"/>
      <c r="AB170" s="60"/>
      <c r="AC170" s="60"/>
      <c r="AD170" s="60"/>
      <c r="AE170" s="60"/>
      <c r="AF170" s="6"/>
      <c r="AG170" s="139"/>
      <c r="AH170" s="139"/>
      <c r="AI170" s="139"/>
      <c r="AJ170" s="139"/>
    </row>
    <row r="171" spans="1:36" s="209" customFormat="1" ht="11.25" customHeight="1">
      <c r="A171" s="588"/>
      <c r="B171" s="65"/>
      <c r="C171" s="65"/>
      <c r="P171" s="60"/>
      <c r="Q171" s="65"/>
      <c r="R171" s="65"/>
      <c r="S171" s="60"/>
      <c r="T171" s="60"/>
      <c r="U171" s="60"/>
      <c r="V171" s="60"/>
      <c r="W171" s="65"/>
      <c r="X171" s="60"/>
      <c r="Y171" s="60"/>
      <c r="Z171" s="319"/>
      <c r="AA171" s="60"/>
      <c r="AB171" s="60"/>
      <c r="AC171" s="60"/>
      <c r="AD171" s="60"/>
      <c r="AE171" s="60"/>
      <c r="AF171" s="6"/>
      <c r="AG171" s="139"/>
      <c r="AH171" s="139"/>
      <c r="AI171" s="139"/>
      <c r="AJ171" s="139"/>
    </row>
    <row r="172" spans="1:36" s="209" customFormat="1" ht="11.25" customHeight="1">
      <c r="A172" s="588"/>
      <c r="B172" s="65"/>
      <c r="C172" s="65"/>
      <c r="P172" s="60"/>
      <c r="Q172" s="65"/>
      <c r="R172" s="65"/>
      <c r="S172" s="60"/>
      <c r="T172" s="60"/>
      <c r="U172" s="60"/>
      <c r="V172" s="60"/>
      <c r="W172" s="65"/>
      <c r="X172" s="60"/>
      <c r="Y172" s="60"/>
      <c r="Z172" s="319"/>
      <c r="AA172" s="60"/>
      <c r="AB172" s="60"/>
      <c r="AC172" s="60"/>
      <c r="AD172" s="60"/>
      <c r="AE172" s="60"/>
      <c r="AF172" s="6"/>
      <c r="AG172" s="139"/>
      <c r="AH172" s="139"/>
      <c r="AI172" s="139"/>
      <c r="AJ172" s="139"/>
    </row>
    <row r="173" spans="1:36" s="209" customFormat="1" ht="11.25" customHeight="1">
      <c r="A173" s="588"/>
      <c r="B173" s="65"/>
      <c r="C173" s="65"/>
      <c r="P173" s="60"/>
      <c r="Q173" s="65"/>
      <c r="R173" s="65"/>
      <c r="S173" s="60"/>
      <c r="T173" s="60"/>
      <c r="U173" s="60"/>
      <c r="V173" s="60"/>
      <c r="W173" s="65"/>
      <c r="X173" s="60"/>
      <c r="Y173" s="60"/>
      <c r="Z173" s="319"/>
      <c r="AA173" s="60"/>
      <c r="AB173" s="60"/>
      <c r="AC173" s="60"/>
      <c r="AD173" s="60"/>
      <c r="AE173" s="60"/>
      <c r="AF173" s="6"/>
      <c r="AG173" s="139"/>
      <c r="AH173" s="139"/>
      <c r="AI173" s="139"/>
      <c r="AJ173" s="139"/>
    </row>
    <row r="174" spans="1:36" s="209" customFormat="1" ht="11.25" customHeight="1">
      <c r="A174" s="588"/>
      <c r="B174" s="65"/>
      <c r="C174" s="65"/>
      <c r="P174" s="60"/>
      <c r="Q174" s="65"/>
      <c r="R174" s="65"/>
      <c r="S174" s="60"/>
      <c r="T174" s="60"/>
      <c r="U174" s="60"/>
      <c r="V174" s="60"/>
      <c r="W174" s="65"/>
      <c r="X174" s="60"/>
      <c r="Y174" s="60"/>
      <c r="Z174" s="319"/>
      <c r="AA174" s="60"/>
      <c r="AB174" s="60"/>
      <c r="AC174" s="60"/>
      <c r="AD174" s="60"/>
      <c r="AE174" s="60"/>
      <c r="AF174" s="6"/>
      <c r="AG174" s="139"/>
      <c r="AH174" s="139"/>
      <c r="AI174" s="139"/>
      <c r="AJ174" s="139"/>
    </row>
    <row r="175" spans="1:36" s="209" customFormat="1" ht="11.25" customHeight="1">
      <c r="A175" s="588"/>
      <c r="B175" s="65"/>
      <c r="C175" s="65"/>
      <c r="P175" s="60"/>
      <c r="Q175" s="65"/>
      <c r="R175" s="65"/>
      <c r="S175" s="60"/>
      <c r="T175" s="60"/>
      <c r="U175" s="60"/>
      <c r="V175" s="60"/>
      <c r="W175" s="65"/>
      <c r="X175" s="60"/>
      <c r="Y175" s="60"/>
      <c r="Z175" s="319"/>
      <c r="AA175" s="60"/>
      <c r="AB175" s="60"/>
      <c r="AC175" s="60"/>
      <c r="AD175" s="60"/>
      <c r="AE175" s="60"/>
      <c r="AF175" s="6"/>
      <c r="AG175" s="139"/>
      <c r="AH175" s="139"/>
      <c r="AI175" s="139"/>
      <c r="AJ175" s="139"/>
    </row>
    <row r="176" spans="1:36" s="209" customFormat="1" ht="11.25" customHeight="1">
      <c r="A176" s="588"/>
      <c r="B176" s="65"/>
      <c r="C176" s="65"/>
      <c r="P176" s="60"/>
      <c r="Q176" s="65"/>
      <c r="R176" s="65"/>
      <c r="S176" s="60"/>
      <c r="T176" s="60"/>
      <c r="U176" s="60"/>
      <c r="V176" s="60"/>
      <c r="W176" s="65"/>
      <c r="X176" s="60"/>
      <c r="Y176" s="60"/>
      <c r="Z176" s="319"/>
      <c r="AA176" s="60"/>
      <c r="AB176" s="60"/>
      <c r="AC176" s="60"/>
      <c r="AD176" s="60"/>
      <c r="AE176" s="60"/>
      <c r="AF176" s="6"/>
      <c r="AG176" s="139"/>
      <c r="AH176" s="139"/>
      <c r="AI176" s="139"/>
      <c r="AJ176" s="139"/>
    </row>
    <row r="177" spans="1:36" s="209" customFormat="1" ht="11.25" customHeight="1">
      <c r="A177" s="588"/>
      <c r="B177" s="65"/>
      <c r="C177" s="65"/>
      <c r="P177" s="60"/>
      <c r="Q177" s="65"/>
      <c r="R177" s="65"/>
      <c r="S177" s="60"/>
      <c r="T177" s="60"/>
      <c r="U177" s="60"/>
      <c r="V177" s="60"/>
      <c r="W177" s="65"/>
      <c r="X177" s="60"/>
      <c r="Y177" s="60"/>
      <c r="Z177" s="319"/>
      <c r="AA177" s="60"/>
      <c r="AB177" s="60"/>
      <c r="AC177" s="60"/>
      <c r="AD177" s="60"/>
      <c r="AE177" s="60"/>
      <c r="AF177" s="6"/>
      <c r="AG177" s="139"/>
      <c r="AH177" s="139"/>
      <c r="AI177" s="139"/>
      <c r="AJ177" s="139"/>
    </row>
    <row r="178" spans="1:36" s="209" customFormat="1" ht="11.25" customHeight="1">
      <c r="A178" s="588"/>
      <c r="B178" s="65"/>
      <c r="C178" s="65"/>
      <c r="P178" s="60"/>
      <c r="Q178" s="65"/>
      <c r="R178" s="65"/>
      <c r="S178" s="60"/>
      <c r="T178" s="60"/>
      <c r="U178" s="60"/>
      <c r="V178" s="60"/>
      <c r="W178" s="65"/>
      <c r="X178" s="60"/>
      <c r="Y178" s="60"/>
      <c r="Z178" s="319"/>
      <c r="AA178" s="60"/>
      <c r="AB178" s="60"/>
      <c r="AC178" s="60"/>
      <c r="AD178" s="60"/>
      <c r="AE178" s="60"/>
      <c r="AF178" s="6"/>
      <c r="AG178" s="139"/>
      <c r="AH178" s="139"/>
      <c r="AI178" s="139"/>
      <c r="AJ178" s="139"/>
    </row>
    <row r="179" spans="1:36" s="209" customFormat="1" ht="11.25" customHeight="1">
      <c r="A179" s="588"/>
      <c r="B179" s="65"/>
      <c r="C179" s="65"/>
      <c r="P179" s="60"/>
      <c r="Q179" s="65"/>
      <c r="R179" s="65"/>
      <c r="S179" s="60"/>
      <c r="T179" s="60"/>
      <c r="U179" s="60"/>
      <c r="V179" s="60"/>
      <c r="W179" s="65"/>
      <c r="X179" s="60"/>
      <c r="Y179" s="60"/>
      <c r="Z179" s="319"/>
      <c r="AA179" s="60"/>
      <c r="AB179" s="60"/>
      <c r="AC179" s="60"/>
      <c r="AD179" s="60"/>
      <c r="AE179" s="60"/>
      <c r="AF179" s="6"/>
      <c r="AG179" s="139"/>
      <c r="AH179" s="139"/>
      <c r="AI179" s="139"/>
      <c r="AJ179" s="139"/>
    </row>
    <row r="180" spans="1:36" s="209" customFormat="1" ht="11.25" customHeight="1">
      <c r="A180" s="588"/>
      <c r="B180" s="65"/>
      <c r="C180" s="65"/>
      <c r="P180" s="60"/>
      <c r="Q180" s="65"/>
      <c r="R180" s="65"/>
      <c r="S180" s="60"/>
      <c r="T180" s="60"/>
      <c r="U180" s="60"/>
      <c r="V180" s="60"/>
      <c r="W180" s="65"/>
      <c r="X180" s="60"/>
      <c r="Y180" s="60"/>
      <c r="Z180" s="319"/>
      <c r="AA180" s="60"/>
      <c r="AB180" s="60"/>
      <c r="AC180" s="60"/>
      <c r="AD180" s="60"/>
      <c r="AE180" s="60"/>
      <c r="AF180" s="6"/>
      <c r="AG180" s="139"/>
      <c r="AH180" s="139"/>
      <c r="AI180" s="139"/>
      <c r="AJ180" s="139"/>
    </row>
    <row r="181" spans="1:36" s="209" customFormat="1" ht="11.25" customHeight="1">
      <c r="A181" s="588"/>
      <c r="B181" s="65"/>
      <c r="C181" s="65"/>
      <c r="P181" s="60"/>
      <c r="Q181" s="65"/>
      <c r="R181" s="65"/>
      <c r="S181" s="60"/>
      <c r="T181" s="60"/>
      <c r="U181" s="60"/>
      <c r="V181" s="60"/>
      <c r="W181" s="65"/>
      <c r="X181" s="60"/>
      <c r="Y181" s="60"/>
      <c r="Z181" s="319"/>
      <c r="AA181" s="60"/>
      <c r="AB181" s="60"/>
      <c r="AC181" s="60"/>
      <c r="AD181" s="60"/>
      <c r="AE181" s="60"/>
      <c r="AF181" s="6"/>
      <c r="AG181" s="139"/>
      <c r="AH181" s="139"/>
      <c r="AI181" s="139"/>
      <c r="AJ181" s="139"/>
    </row>
    <row r="182" spans="1:36" s="209" customFormat="1" ht="11.25" customHeight="1">
      <c r="A182" s="588"/>
      <c r="B182" s="65"/>
      <c r="C182" s="65"/>
      <c r="P182" s="60"/>
      <c r="Q182" s="65"/>
      <c r="R182" s="65"/>
      <c r="S182" s="60"/>
      <c r="T182" s="60"/>
      <c r="U182" s="60"/>
      <c r="V182" s="60"/>
      <c r="W182" s="65"/>
      <c r="X182" s="60"/>
      <c r="Y182" s="60"/>
      <c r="Z182" s="319"/>
      <c r="AA182" s="60"/>
      <c r="AB182" s="60"/>
      <c r="AC182" s="60"/>
      <c r="AD182" s="60"/>
      <c r="AE182" s="60"/>
      <c r="AF182" s="6"/>
      <c r="AG182" s="139"/>
      <c r="AH182" s="139"/>
      <c r="AI182" s="139"/>
      <c r="AJ182" s="139"/>
    </row>
    <row r="183" spans="1:36" s="209" customFormat="1" ht="11.25" customHeight="1">
      <c r="A183" s="588"/>
      <c r="B183" s="65"/>
      <c r="C183" s="65"/>
      <c r="P183" s="60"/>
      <c r="Q183" s="65"/>
      <c r="R183" s="65"/>
      <c r="S183" s="60"/>
      <c r="T183" s="60"/>
      <c r="U183" s="60"/>
      <c r="V183" s="60"/>
      <c r="W183" s="65"/>
      <c r="X183" s="60"/>
      <c r="Y183" s="60"/>
      <c r="Z183" s="319"/>
      <c r="AA183" s="60"/>
      <c r="AB183" s="60"/>
      <c r="AC183" s="60"/>
      <c r="AD183" s="60"/>
      <c r="AE183" s="60"/>
      <c r="AF183" s="6"/>
      <c r="AG183" s="139"/>
      <c r="AH183" s="139"/>
      <c r="AI183" s="139"/>
      <c r="AJ183" s="139"/>
    </row>
    <row r="184" spans="1:36" s="209" customFormat="1" ht="11.25" customHeight="1">
      <c r="A184" s="588"/>
      <c r="B184" s="65"/>
      <c r="C184" s="65"/>
      <c r="P184" s="60"/>
      <c r="Q184" s="65"/>
      <c r="R184" s="65"/>
      <c r="S184" s="60"/>
      <c r="T184" s="60"/>
      <c r="U184" s="60"/>
      <c r="V184" s="60"/>
      <c r="W184" s="65"/>
      <c r="X184" s="60"/>
      <c r="Y184" s="60"/>
      <c r="Z184" s="319"/>
      <c r="AA184" s="60"/>
      <c r="AB184" s="60"/>
      <c r="AC184" s="60"/>
      <c r="AD184" s="60"/>
      <c r="AE184" s="60"/>
      <c r="AF184" s="6"/>
      <c r="AG184" s="139"/>
      <c r="AH184" s="139"/>
      <c r="AI184" s="139"/>
      <c r="AJ184" s="139"/>
    </row>
    <row r="185" spans="1:36" s="209" customFormat="1" ht="11.25" customHeight="1">
      <c r="A185" s="588"/>
      <c r="B185" s="65"/>
      <c r="C185" s="65"/>
      <c r="P185" s="60"/>
      <c r="Q185" s="65"/>
      <c r="R185" s="65"/>
      <c r="S185" s="60"/>
      <c r="T185" s="60"/>
      <c r="U185" s="60"/>
      <c r="V185" s="60"/>
      <c r="W185" s="65"/>
      <c r="X185" s="60"/>
      <c r="Y185" s="60"/>
      <c r="Z185" s="319"/>
      <c r="AA185" s="60"/>
      <c r="AB185" s="60"/>
      <c r="AC185" s="60"/>
      <c r="AD185" s="60"/>
      <c r="AE185" s="60"/>
      <c r="AF185" s="6"/>
      <c r="AG185" s="139"/>
      <c r="AH185" s="139"/>
      <c r="AI185" s="139"/>
      <c r="AJ185" s="139"/>
    </row>
    <row r="186" spans="1:36" s="209" customFormat="1" ht="11.25" customHeight="1">
      <c r="A186" s="588"/>
      <c r="B186" s="65"/>
      <c r="C186" s="65"/>
      <c r="P186" s="60"/>
      <c r="Q186" s="65"/>
      <c r="R186" s="65"/>
      <c r="S186" s="60"/>
      <c r="T186" s="60"/>
      <c r="U186" s="60"/>
      <c r="V186" s="60"/>
      <c r="W186" s="65"/>
      <c r="X186" s="60"/>
      <c r="Y186" s="60"/>
      <c r="Z186" s="319"/>
      <c r="AA186" s="60"/>
      <c r="AB186" s="60"/>
      <c r="AC186" s="60"/>
      <c r="AD186" s="60"/>
      <c r="AE186" s="60"/>
      <c r="AF186" s="6"/>
      <c r="AG186" s="139"/>
      <c r="AH186" s="139"/>
      <c r="AI186" s="139"/>
      <c r="AJ186" s="139"/>
    </row>
    <row r="187" spans="1:36" s="209" customFormat="1" ht="11.25" customHeight="1">
      <c r="A187" s="588"/>
      <c r="B187" s="65"/>
      <c r="C187" s="65"/>
      <c r="P187" s="60"/>
      <c r="Q187" s="65"/>
      <c r="R187" s="65"/>
      <c r="S187" s="60"/>
      <c r="T187" s="60"/>
      <c r="U187" s="60"/>
      <c r="V187" s="60"/>
      <c r="W187" s="65"/>
      <c r="X187" s="60"/>
      <c r="Y187" s="60"/>
      <c r="Z187" s="319"/>
      <c r="AA187" s="60"/>
      <c r="AB187" s="60"/>
      <c r="AC187" s="60"/>
      <c r="AD187" s="60"/>
      <c r="AE187" s="60"/>
      <c r="AF187" s="6"/>
      <c r="AG187" s="139"/>
      <c r="AH187" s="139"/>
      <c r="AI187" s="139"/>
      <c r="AJ187" s="139"/>
    </row>
    <row r="188" spans="1:36" s="209" customFormat="1" ht="11.25" customHeight="1">
      <c r="A188" s="588"/>
      <c r="B188" s="65"/>
      <c r="C188" s="65"/>
      <c r="P188" s="60"/>
      <c r="Q188" s="65"/>
      <c r="R188" s="65"/>
      <c r="S188" s="60"/>
      <c r="T188" s="60"/>
      <c r="U188" s="60"/>
      <c r="V188" s="60"/>
      <c r="W188" s="65"/>
      <c r="X188" s="60"/>
      <c r="Y188" s="60"/>
      <c r="Z188" s="319"/>
      <c r="AA188" s="60"/>
      <c r="AB188" s="60"/>
      <c r="AC188" s="60"/>
      <c r="AD188" s="60"/>
      <c r="AE188" s="60"/>
      <c r="AF188" s="6"/>
      <c r="AG188" s="139"/>
      <c r="AH188" s="139"/>
      <c r="AI188" s="139"/>
      <c r="AJ188" s="139"/>
    </row>
    <row r="189" spans="1:36" s="209" customFormat="1" ht="11.25" customHeight="1">
      <c r="A189" s="588"/>
      <c r="B189" s="65"/>
      <c r="C189" s="65"/>
      <c r="P189" s="60"/>
      <c r="Q189" s="65"/>
      <c r="R189" s="65"/>
      <c r="S189" s="60"/>
      <c r="T189" s="60"/>
      <c r="U189" s="60"/>
      <c r="V189" s="60"/>
      <c r="W189" s="65"/>
      <c r="X189" s="60"/>
      <c r="Y189" s="60"/>
      <c r="Z189" s="319"/>
      <c r="AA189" s="60"/>
      <c r="AB189" s="60"/>
      <c r="AC189" s="60"/>
      <c r="AD189" s="60"/>
      <c r="AE189" s="60"/>
      <c r="AF189" s="6"/>
      <c r="AG189" s="139"/>
      <c r="AH189" s="139"/>
      <c r="AI189" s="139"/>
      <c r="AJ189" s="139"/>
    </row>
    <row r="190" spans="1:36" s="209" customFormat="1" ht="11.25" customHeight="1">
      <c r="A190" s="588"/>
      <c r="B190" s="65"/>
      <c r="C190" s="65"/>
      <c r="P190" s="60"/>
      <c r="Q190" s="65"/>
      <c r="R190" s="65"/>
      <c r="S190" s="60"/>
      <c r="T190" s="60"/>
      <c r="U190" s="60"/>
      <c r="V190" s="60"/>
      <c r="W190" s="65"/>
      <c r="X190" s="60"/>
      <c r="Y190" s="60"/>
      <c r="Z190" s="319"/>
      <c r="AA190" s="60"/>
      <c r="AB190" s="60"/>
      <c r="AC190" s="60"/>
      <c r="AD190" s="60"/>
      <c r="AE190" s="60"/>
      <c r="AF190" s="6"/>
      <c r="AG190" s="139"/>
      <c r="AH190" s="139"/>
      <c r="AI190" s="139"/>
      <c r="AJ190" s="139"/>
    </row>
    <row r="191" spans="1:36" s="209" customFormat="1" ht="11.25" customHeight="1">
      <c r="A191" s="588"/>
      <c r="B191" s="65"/>
      <c r="C191" s="65"/>
      <c r="P191" s="60"/>
      <c r="Q191" s="65"/>
      <c r="R191" s="65"/>
      <c r="S191" s="60"/>
      <c r="T191" s="60"/>
      <c r="U191" s="60"/>
      <c r="V191" s="60"/>
      <c r="W191" s="65"/>
      <c r="X191" s="60"/>
      <c r="Y191" s="60"/>
      <c r="Z191" s="319"/>
      <c r="AA191" s="60"/>
      <c r="AB191" s="60"/>
      <c r="AC191" s="60"/>
      <c r="AD191" s="60"/>
      <c r="AE191" s="60"/>
      <c r="AF191" s="6"/>
      <c r="AG191" s="139"/>
      <c r="AH191" s="139"/>
      <c r="AI191" s="139"/>
      <c r="AJ191" s="139"/>
    </row>
    <row r="192" spans="1:36" s="209" customFormat="1" ht="11.25" customHeight="1">
      <c r="A192" s="588"/>
      <c r="B192" s="65"/>
      <c r="C192" s="65"/>
      <c r="P192" s="60"/>
      <c r="Q192" s="65"/>
      <c r="R192" s="65"/>
      <c r="S192" s="60"/>
      <c r="T192" s="60"/>
      <c r="U192" s="60"/>
      <c r="V192" s="60"/>
      <c r="W192" s="65"/>
      <c r="X192" s="60"/>
      <c r="Y192" s="60"/>
      <c r="Z192" s="319"/>
      <c r="AA192" s="60"/>
      <c r="AB192" s="60"/>
      <c r="AC192" s="60"/>
      <c r="AD192" s="60"/>
      <c r="AE192" s="60"/>
      <c r="AF192" s="6"/>
      <c r="AG192" s="139"/>
      <c r="AH192" s="139"/>
      <c r="AI192" s="139"/>
      <c r="AJ192" s="139"/>
    </row>
    <row r="193" spans="1:36" s="209" customFormat="1" ht="11.25" customHeight="1">
      <c r="A193" s="588"/>
      <c r="B193" s="65"/>
      <c r="C193" s="65"/>
      <c r="P193" s="60"/>
      <c r="Q193" s="65"/>
      <c r="R193" s="65"/>
      <c r="S193" s="60"/>
      <c r="T193" s="60"/>
      <c r="U193" s="60"/>
      <c r="V193" s="60"/>
      <c r="W193" s="65"/>
      <c r="X193" s="60"/>
      <c r="Y193" s="60"/>
      <c r="Z193" s="319"/>
      <c r="AA193" s="60"/>
      <c r="AB193" s="60"/>
      <c r="AC193" s="60"/>
      <c r="AD193" s="60"/>
      <c r="AE193" s="60"/>
      <c r="AF193" s="6"/>
      <c r="AG193" s="139"/>
      <c r="AH193" s="139"/>
      <c r="AI193" s="139"/>
      <c r="AJ193" s="139"/>
    </row>
    <row r="194" spans="1:36" s="209" customFormat="1" ht="11.25" customHeight="1">
      <c r="A194" s="588"/>
      <c r="B194" s="65"/>
      <c r="C194" s="65"/>
      <c r="P194" s="60"/>
      <c r="Q194" s="65"/>
      <c r="R194" s="65"/>
      <c r="S194" s="60"/>
      <c r="T194" s="60"/>
      <c r="U194" s="60"/>
      <c r="V194" s="60"/>
      <c r="W194" s="65"/>
      <c r="X194" s="60"/>
      <c r="Y194" s="60"/>
      <c r="Z194" s="319"/>
      <c r="AA194" s="60"/>
      <c r="AB194" s="60"/>
      <c r="AC194" s="60"/>
      <c r="AD194" s="60"/>
      <c r="AE194" s="60"/>
      <c r="AF194" s="6"/>
      <c r="AG194" s="139"/>
      <c r="AH194" s="139"/>
      <c r="AI194" s="139"/>
      <c r="AJ194" s="139"/>
    </row>
    <row r="195" spans="1:36" s="209" customFormat="1" ht="11.25" customHeight="1">
      <c r="A195" s="588"/>
      <c r="B195" s="65"/>
      <c r="C195" s="65"/>
      <c r="P195" s="60"/>
      <c r="Q195" s="65"/>
      <c r="R195" s="65"/>
      <c r="S195" s="60"/>
      <c r="T195" s="60"/>
      <c r="U195" s="60"/>
      <c r="V195" s="60"/>
      <c r="W195" s="65"/>
      <c r="X195" s="60"/>
      <c r="Y195" s="60"/>
      <c r="Z195" s="319"/>
      <c r="AA195" s="60"/>
      <c r="AB195" s="60"/>
      <c r="AC195" s="60"/>
      <c r="AD195" s="60"/>
      <c r="AE195" s="60"/>
      <c r="AF195" s="6"/>
      <c r="AG195" s="139"/>
      <c r="AH195" s="139"/>
      <c r="AI195" s="139"/>
      <c r="AJ195" s="139"/>
    </row>
    <row r="196" spans="1:36" s="209" customFormat="1" ht="11.25" customHeight="1">
      <c r="A196" s="588"/>
      <c r="B196" s="65"/>
      <c r="C196" s="65"/>
      <c r="P196" s="60"/>
      <c r="Q196" s="65"/>
      <c r="R196" s="65"/>
      <c r="S196" s="60"/>
      <c r="T196" s="60"/>
      <c r="U196" s="60"/>
      <c r="V196" s="60"/>
      <c r="W196" s="65"/>
      <c r="X196" s="60"/>
      <c r="Y196" s="60"/>
      <c r="Z196" s="319"/>
      <c r="AA196" s="60"/>
      <c r="AB196" s="60"/>
      <c r="AC196" s="60"/>
      <c r="AD196" s="60"/>
      <c r="AE196" s="60"/>
      <c r="AF196" s="6"/>
      <c r="AG196" s="139"/>
      <c r="AH196" s="139"/>
      <c r="AI196" s="139"/>
      <c r="AJ196" s="139"/>
    </row>
    <row r="197" spans="1:36" s="209" customFormat="1" ht="11.25" customHeight="1">
      <c r="A197" s="588"/>
      <c r="B197" s="65"/>
      <c r="C197" s="65"/>
      <c r="P197" s="60"/>
      <c r="Q197" s="65"/>
      <c r="R197" s="65"/>
      <c r="S197" s="60"/>
      <c r="T197" s="60"/>
      <c r="U197" s="60"/>
      <c r="V197" s="60"/>
      <c r="W197" s="65"/>
      <c r="X197" s="60"/>
      <c r="Y197" s="60"/>
      <c r="Z197" s="319"/>
      <c r="AA197" s="60"/>
      <c r="AB197" s="60"/>
      <c r="AC197" s="60"/>
      <c r="AD197" s="60"/>
      <c r="AE197" s="60"/>
      <c r="AF197" s="6"/>
      <c r="AG197" s="139"/>
      <c r="AH197" s="139"/>
      <c r="AI197" s="139"/>
      <c r="AJ197" s="139"/>
    </row>
    <row r="198" spans="1:36" s="209" customFormat="1" ht="11.25" customHeight="1">
      <c r="A198" s="588"/>
      <c r="B198" s="65"/>
      <c r="C198" s="65"/>
      <c r="P198" s="60"/>
      <c r="Q198" s="65"/>
      <c r="R198" s="65"/>
      <c r="S198" s="60"/>
      <c r="T198" s="60"/>
      <c r="U198" s="60"/>
      <c r="V198" s="60"/>
      <c r="W198" s="65"/>
      <c r="X198" s="60"/>
      <c r="Y198" s="60"/>
      <c r="Z198" s="319"/>
      <c r="AA198" s="60"/>
      <c r="AB198" s="60"/>
      <c r="AC198" s="60"/>
      <c r="AD198" s="60"/>
      <c r="AE198" s="60"/>
      <c r="AF198" s="6"/>
      <c r="AG198" s="139"/>
      <c r="AH198" s="139"/>
      <c r="AI198" s="139"/>
      <c r="AJ198" s="139"/>
    </row>
    <row r="199" spans="1:36" s="209" customFormat="1" ht="11.25" customHeight="1">
      <c r="A199" s="588"/>
      <c r="B199" s="65"/>
      <c r="C199" s="65"/>
      <c r="P199" s="60"/>
      <c r="Q199" s="65"/>
      <c r="R199" s="65"/>
      <c r="S199" s="60"/>
      <c r="T199" s="60"/>
      <c r="U199" s="60"/>
      <c r="V199" s="60"/>
      <c r="W199" s="65"/>
      <c r="X199" s="60"/>
      <c r="Y199" s="60"/>
      <c r="Z199" s="319"/>
      <c r="AA199" s="60"/>
      <c r="AB199" s="60"/>
      <c r="AC199" s="60"/>
      <c r="AD199" s="60"/>
      <c r="AE199" s="60"/>
      <c r="AF199" s="6"/>
      <c r="AG199" s="139"/>
      <c r="AH199" s="139"/>
      <c r="AI199" s="139"/>
      <c r="AJ199" s="139"/>
    </row>
    <row r="200" spans="1:36" s="209" customFormat="1" ht="11.25" customHeight="1">
      <c r="A200" s="588"/>
      <c r="B200" s="65"/>
      <c r="C200" s="65"/>
      <c r="P200" s="60"/>
      <c r="Q200" s="65"/>
      <c r="R200" s="65"/>
      <c r="S200" s="60"/>
      <c r="T200" s="60"/>
      <c r="U200" s="60"/>
      <c r="V200" s="60"/>
      <c r="W200" s="65"/>
      <c r="X200" s="60"/>
      <c r="Y200" s="60"/>
      <c r="Z200" s="319"/>
      <c r="AA200" s="60"/>
      <c r="AB200" s="60"/>
      <c r="AC200" s="60"/>
      <c r="AD200" s="60"/>
      <c r="AE200" s="60"/>
      <c r="AF200" s="6"/>
      <c r="AG200" s="139"/>
      <c r="AH200" s="139"/>
      <c r="AI200" s="139"/>
      <c r="AJ200" s="139"/>
    </row>
    <row r="201" spans="1:36" s="209" customFormat="1" ht="11.25" customHeight="1">
      <c r="A201" s="588"/>
      <c r="B201" s="65"/>
      <c r="C201" s="65"/>
      <c r="P201" s="60"/>
      <c r="Q201" s="65"/>
      <c r="R201" s="65"/>
      <c r="S201" s="60"/>
      <c r="T201" s="60"/>
      <c r="U201" s="60"/>
      <c r="V201" s="60"/>
      <c r="W201" s="65"/>
      <c r="X201" s="60"/>
      <c r="Y201" s="60"/>
      <c r="Z201" s="319"/>
      <c r="AA201" s="60"/>
      <c r="AB201" s="60"/>
      <c r="AC201" s="60"/>
      <c r="AD201" s="60"/>
      <c r="AE201" s="60"/>
      <c r="AF201" s="6"/>
      <c r="AG201" s="139"/>
      <c r="AH201" s="139"/>
      <c r="AI201" s="139"/>
      <c r="AJ201" s="139"/>
    </row>
    <row r="202" spans="1:36" s="209" customFormat="1" ht="11.25" customHeight="1">
      <c r="A202" s="588"/>
      <c r="B202" s="65"/>
      <c r="C202" s="65"/>
      <c r="P202" s="60"/>
      <c r="Q202" s="65"/>
      <c r="R202" s="65"/>
      <c r="S202" s="60"/>
      <c r="T202" s="60"/>
      <c r="U202" s="60"/>
      <c r="V202" s="60"/>
      <c r="W202" s="65"/>
      <c r="X202" s="60"/>
      <c r="Y202" s="60"/>
      <c r="Z202" s="319"/>
      <c r="AA202" s="60"/>
      <c r="AB202" s="60"/>
      <c r="AC202" s="60"/>
      <c r="AD202" s="60"/>
      <c r="AE202" s="60"/>
      <c r="AF202" s="6"/>
      <c r="AG202" s="139"/>
      <c r="AH202" s="139"/>
      <c r="AI202" s="139"/>
      <c r="AJ202" s="139"/>
    </row>
    <row r="203" spans="1:36" s="209" customFormat="1" ht="11.25" customHeight="1">
      <c r="A203" s="588"/>
      <c r="B203" s="65"/>
      <c r="C203" s="65"/>
      <c r="P203" s="60"/>
      <c r="Q203" s="65"/>
      <c r="R203" s="65"/>
      <c r="S203" s="60"/>
      <c r="T203" s="60"/>
      <c r="U203" s="60"/>
      <c r="V203" s="60"/>
      <c r="W203" s="65"/>
      <c r="X203" s="60"/>
      <c r="Y203" s="60"/>
      <c r="Z203" s="319"/>
      <c r="AA203" s="60"/>
      <c r="AB203" s="60"/>
      <c r="AC203" s="60"/>
      <c r="AD203" s="60"/>
      <c r="AE203" s="60"/>
      <c r="AF203" s="6"/>
      <c r="AG203" s="139"/>
      <c r="AH203" s="139"/>
      <c r="AI203" s="139"/>
      <c r="AJ203" s="139"/>
    </row>
    <row r="204" spans="1:36" s="209" customFormat="1" ht="11.25" customHeight="1">
      <c r="A204" s="588"/>
      <c r="B204" s="65"/>
      <c r="C204" s="65"/>
      <c r="P204" s="60"/>
      <c r="Q204" s="65"/>
      <c r="R204" s="65"/>
      <c r="S204" s="60"/>
      <c r="T204" s="60"/>
      <c r="U204" s="60"/>
      <c r="V204" s="60"/>
      <c r="W204" s="65"/>
      <c r="X204" s="60"/>
      <c r="Y204" s="60"/>
      <c r="Z204" s="319"/>
      <c r="AA204" s="60"/>
      <c r="AB204" s="60"/>
      <c r="AC204" s="60"/>
      <c r="AD204" s="60"/>
      <c r="AE204" s="60"/>
      <c r="AF204" s="6"/>
      <c r="AG204" s="139"/>
      <c r="AH204" s="139"/>
      <c r="AI204" s="139"/>
      <c r="AJ204" s="139"/>
    </row>
    <row r="205" spans="1:36" s="209" customFormat="1" ht="11.25" customHeight="1">
      <c r="A205" s="588"/>
      <c r="B205" s="65"/>
      <c r="C205" s="65"/>
      <c r="P205" s="60"/>
      <c r="Q205" s="65"/>
      <c r="R205" s="65"/>
      <c r="S205" s="60"/>
      <c r="T205" s="60"/>
      <c r="U205" s="60"/>
      <c r="V205" s="60"/>
      <c r="W205" s="65"/>
      <c r="X205" s="60"/>
      <c r="Y205" s="60"/>
      <c r="Z205" s="319"/>
      <c r="AA205" s="60"/>
      <c r="AB205" s="60"/>
      <c r="AC205" s="60"/>
      <c r="AD205" s="60"/>
      <c r="AE205" s="60"/>
      <c r="AF205" s="6"/>
      <c r="AG205" s="139"/>
      <c r="AH205" s="139"/>
      <c r="AI205" s="139"/>
      <c r="AJ205" s="139"/>
    </row>
    <row r="206" spans="1:36" s="209" customFormat="1" ht="11.25" customHeight="1">
      <c r="A206" s="588"/>
      <c r="B206" s="65"/>
      <c r="C206" s="65"/>
      <c r="P206" s="60"/>
      <c r="Q206" s="65"/>
      <c r="R206" s="65"/>
      <c r="S206" s="60"/>
      <c r="T206" s="60"/>
      <c r="U206" s="60"/>
      <c r="V206" s="60"/>
      <c r="W206" s="65"/>
      <c r="X206" s="60"/>
      <c r="Y206" s="60"/>
      <c r="Z206" s="319"/>
      <c r="AA206" s="60"/>
      <c r="AB206" s="60"/>
      <c r="AC206" s="60"/>
      <c r="AD206" s="60"/>
      <c r="AE206" s="60"/>
      <c r="AF206" s="6"/>
      <c r="AG206" s="139"/>
      <c r="AH206" s="139"/>
      <c r="AI206" s="139"/>
      <c r="AJ206" s="139"/>
    </row>
    <row r="207" spans="1:36" s="209" customFormat="1" ht="11.25" customHeight="1">
      <c r="A207" s="588"/>
      <c r="B207" s="65"/>
      <c r="C207" s="65"/>
      <c r="P207" s="60"/>
      <c r="Q207" s="65"/>
      <c r="R207" s="65"/>
      <c r="S207" s="60"/>
      <c r="T207" s="60"/>
      <c r="U207" s="60"/>
      <c r="V207" s="60"/>
      <c r="W207" s="65"/>
      <c r="X207" s="60"/>
      <c r="Y207" s="60"/>
      <c r="Z207" s="319"/>
      <c r="AA207" s="60"/>
      <c r="AB207" s="60"/>
      <c r="AC207" s="60"/>
      <c r="AD207" s="60"/>
      <c r="AE207" s="60"/>
      <c r="AF207" s="6"/>
      <c r="AG207" s="139"/>
      <c r="AH207" s="139"/>
      <c r="AI207" s="139"/>
      <c r="AJ207" s="139"/>
    </row>
    <row r="208" spans="1:36" s="209" customFormat="1" ht="11.25" customHeight="1">
      <c r="A208" s="588"/>
      <c r="B208" s="65"/>
      <c r="C208" s="65"/>
      <c r="P208" s="60"/>
      <c r="Q208" s="65"/>
      <c r="R208" s="65"/>
      <c r="S208" s="60"/>
      <c r="T208" s="60"/>
      <c r="U208" s="60"/>
      <c r="V208" s="60"/>
      <c r="W208" s="65"/>
      <c r="X208" s="60"/>
      <c r="Y208" s="60"/>
      <c r="Z208" s="319"/>
      <c r="AA208" s="60"/>
      <c r="AB208" s="60"/>
      <c r="AC208" s="60"/>
      <c r="AD208" s="60"/>
      <c r="AE208" s="60"/>
      <c r="AF208" s="6"/>
      <c r="AG208" s="139"/>
      <c r="AH208" s="139"/>
      <c r="AI208" s="139"/>
      <c r="AJ208" s="139"/>
    </row>
    <row r="209" spans="1:36" s="209" customFormat="1" ht="11.25" customHeight="1">
      <c r="A209" s="588"/>
      <c r="B209" s="65"/>
      <c r="C209" s="65"/>
      <c r="P209" s="60"/>
      <c r="Q209" s="65"/>
      <c r="R209" s="65"/>
      <c r="S209" s="60"/>
      <c r="T209" s="60"/>
      <c r="U209" s="60"/>
      <c r="V209" s="60"/>
      <c r="W209" s="65"/>
      <c r="X209" s="60"/>
      <c r="Y209" s="60"/>
      <c r="Z209" s="319"/>
      <c r="AA209" s="60"/>
      <c r="AB209" s="60"/>
      <c r="AC209" s="60"/>
      <c r="AD209" s="60"/>
      <c r="AE209" s="60"/>
      <c r="AF209" s="6"/>
      <c r="AG209" s="139"/>
      <c r="AH209" s="139"/>
      <c r="AI209" s="139"/>
      <c r="AJ209" s="139"/>
    </row>
    <row r="210" spans="1:36" s="209" customFormat="1" ht="11.25" customHeight="1">
      <c r="A210" s="588"/>
      <c r="B210" s="65"/>
      <c r="C210" s="65"/>
      <c r="P210" s="60"/>
      <c r="Q210" s="65"/>
      <c r="R210" s="65"/>
      <c r="S210" s="60"/>
      <c r="T210" s="60"/>
      <c r="U210" s="60"/>
      <c r="V210" s="60"/>
      <c r="W210" s="65"/>
      <c r="X210" s="60"/>
      <c r="Y210" s="60"/>
      <c r="Z210" s="319"/>
      <c r="AA210" s="60"/>
      <c r="AB210" s="60"/>
      <c r="AC210" s="60"/>
      <c r="AD210" s="60"/>
      <c r="AE210" s="60"/>
      <c r="AF210" s="6"/>
      <c r="AG210" s="139"/>
      <c r="AH210" s="139"/>
      <c r="AI210" s="139"/>
      <c r="AJ210" s="139"/>
    </row>
    <row r="211" spans="1:36" s="209" customFormat="1" ht="11.25" customHeight="1">
      <c r="A211" s="588"/>
      <c r="B211" s="65"/>
      <c r="C211" s="65"/>
      <c r="P211" s="60"/>
      <c r="Q211" s="65"/>
      <c r="R211" s="65"/>
      <c r="S211" s="60"/>
      <c r="T211" s="60"/>
      <c r="U211" s="60"/>
      <c r="V211" s="60"/>
      <c r="W211" s="65"/>
      <c r="X211" s="60"/>
      <c r="Y211" s="60"/>
      <c r="Z211" s="319"/>
      <c r="AA211" s="60"/>
      <c r="AB211" s="60"/>
      <c r="AC211" s="60"/>
      <c r="AD211" s="60"/>
      <c r="AE211" s="60"/>
      <c r="AF211" s="6"/>
      <c r="AG211" s="139"/>
      <c r="AH211" s="139"/>
      <c r="AI211" s="139"/>
      <c r="AJ211" s="139"/>
    </row>
    <row r="212" spans="1:36" s="209" customFormat="1" ht="11.25" customHeight="1">
      <c r="A212" s="588"/>
      <c r="B212" s="65"/>
      <c r="C212" s="65"/>
      <c r="P212" s="60"/>
      <c r="Q212" s="65"/>
      <c r="R212" s="65"/>
      <c r="S212" s="60"/>
      <c r="T212" s="60"/>
      <c r="U212" s="60"/>
      <c r="V212" s="60"/>
      <c r="W212" s="65"/>
      <c r="X212" s="60"/>
      <c r="Y212" s="60"/>
      <c r="Z212" s="319"/>
      <c r="AA212" s="60"/>
      <c r="AB212" s="60"/>
      <c r="AC212" s="60"/>
      <c r="AD212" s="60"/>
      <c r="AE212" s="60"/>
      <c r="AF212" s="6"/>
      <c r="AG212" s="139"/>
      <c r="AH212" s="139"/>
      <c r="AI212" s="139"/>
      <c r="AJ212" s="139"/>
    </row>
    <row r="213" spans="1:36" s="209" customFormat="1" ht="11.25" customHeight="1">
      <c r="A213" s="588"/>
      <c r="B213" s="65"/>
      <c r="C213" s="65"/>
      <c r="P213" s="60"/>
      <c r="Q213" s="65"/>
      <c r="R213" s="65"/>
      <c r="S213" s="60"/>
      <c r="T213" s="60"/>
      <c r="U213" s="60"/>
      <c r="V213" s="60"/>
      <c r="W213" s="65"/>
      <c r="X213" s="60"/>
      <c r="Y213" s="60"/>
      <c r="Z213" s="319"/>
      <c r="AA213" s="60"/>
      <c r="AB213" s="60"/>
      <c r="AC213" s="60"/>
      <c r="AD213" s="60"/>
      <c r="AE213" s="60"/>
      <c r="AF213" s="6"/>
      <c r="AG213" s="139"/>
      <c r="AH213" s="139"/>
      <c r="AI213" s="139"/>
      <c r="AJ213" s="139"/>
    </row>
    <row r="214" spans="1:36" s="209" customFormat="1" ht="11.25" customHeight="1">
      <c r="A214" s="588"/>
      <c r="B214" s="65"/>
      <c r="C214" s="65"/>
      <c r="P214" s="60"/>
      <c r="Q214" s="65"/>
      <c r="R214" s="65"/>
      <c r="S214" s="60"/>
      <c r="T214" s="60"/>
      <c r="U214" s="60"/>
      <c r="V214" s="60"/>
      <c r="W214" s="65"/>
      <c r="X214" s="60"/>
      <c r="Y214" s="60"/>
      <c r="Z214" s="319"/>
      <c r="AA214" s="60"/>
      <c r="AB214" s="60"/>
      <c r="AC214" s="60"/>
      <c r="AD214" s="60"/>
      <c r="AE214" s="60"/>
      <c r="AF214" s="6"/>
      <c r="AG214" s="139"/>
      <c r="AH214" s="139"/>
      <c r="AI214" s="139"/>
      <c r="AJ214" s="139"/>
    </row>
    <row r="215" spans="1:36" s="209" customFormat="1" ht="11.25" customHeight="1">
      <c r="A215" s="588"/>
      <c r="B215" s="65"/>
      <c r="C215" s="65"/>
      <c r="P215" s="60"/>
      <c r="Q215" s="65"/>
      <c r="R215" s="65"/>
      <c r="S215" s="60"/>
      <c r="T215" s="60"/>
      <c r="U215" s="60"/>
      <c r="V215" s="60"/>
      <c r="W215" s="65"/>
      <c r="X215" s="60"/>
      <c r="Y215" s="60"/>
      <c r="Z215" s="319"/>
      <c r="AA215" s="60"/>
      <c r="AB215" s="60"/>
      <c r="AC215" s="60"/>
      <c r="AD215" s="60"/>
      <c r="AE215" s="60"/>
      <c r="AF215" s="6"/>
      <c r="AG215" s="139"/>
      <c r="AH215" s="139"/>
      <c r="AI215" s="139"/>
      <c r="AJ215" s="139"/>
    </row>
    <row r="216" spans="1:36" s="209" customFormat="1" ht="11.25" customHeight="1">
      <c r="A216" s="588"/>
      <c r="B216" s="65"/>
      <c r="C216" s="65"/>
      <c r="P216" s="60"/>
      <c r="Q216" s="65"/>
      <c r="R216" s="65"/>
      <c r="S216" s="60"/>
      <c r="T216" s="60"/>
      <c r="U216" s="60"/>
      <c r="V216" s="60"/>
      <c r="W216" s="65"/>
      <c r="X216" s="60"/>
      <c r="Y216" s="60"/>
      <c r="Z216" s="319"/>
      <c r="AA216" s="60"/>
      <c r="AB216" s="60"/>
      <c r="AC216" s="60"/>
      <c r="AD216" s="60"/>
      <c r="AE216" s="60"/>
      <c r="AF216" s="6"/>
      <c r="AG216" s="139"/>
      <c r="AH216" s="139"/>
      <c r="AI216" s="139"/>
      <c r="AJ216" s="139"/>
    </row>
    <row r="217" spans="1:36" s="209" customFormat="1" ht="11.25" customHeight="1">
      <c r="A217" s="588"/>
      <c r="B217" s="65"/>
      <c r="C217" s="65"/>
      <c r="P217" s="60"/>
      <c r="Q217" s="65"/>
      <c r="R217" s="65"/>
      <c r="S217" s="60"/>
      <c r="T217" s="60"/>
      <c r="U217" s="60"/>
      <c r="V217" s="60"/>
      <c r="W217" s="65"/>
      <c r="X217" s="60"/>
      <c r="Y217" s="60"/>
      <c r="Z217" s="319"/>
      <c r="AA217" s="60"/>
      <c r="AB217" s="60"/>
      <c r="AC217" s="60"/>
      <c r="AD217" s="60"/>
      <c r="AE217" s="60"/>
      <c r="AF217" s="6"/>
      <c r="AG217" s="139"/>
      <c r="AH217" s="139"/>
      <c r="AI217" s="139"/>
      <c r="AJ217" s="139"/>
    </row>
    <row r="218" spans="1:36" s="209" customFormat="1" ht="11.25" customHeight="1">
      <c r="A218" s="588"/>
      <c r="B218" s="65"/>
      <c r="C218" s="65"/>
      <c r="P218" s="60"/>
      <c r="Q218" s="65"/>
      <c r="R218" s="65"/>
      <c r="S218" s="60"/>
      <c r="T218" s="60"/>
      <c r="U218" s="60"/>
      <c r="V218" s="60"/>
      <c r="W218" s="65"/>
      <c r="X218" s="60"/>
      <c r="Y218" s="60"/>
      <c r="Z218" s="319"/>
      <c r="AA218" s="60"/>
      <c r="AB218" s="60"/>
      <c r="AC218" s="60"/>
      <c r="AD218" s="60"/>
      <c r="AE218" s="60"/>
      <c r="AF218" s="6"/>
      <c r="AG218" s="139"/>
      <c r="AH218" s="139"/>
      <c r="AI218" s="139"/>
      <c r="AJ218" s="139"/>
    </row>
    <row r="219" spans="1:36" s="209" customFormat="1" ht="11.25" customHeight="1">
      <c r="A219" s="588"/>
      <c r="B219" s="65"/>
      <c r="C219" s="65"/>
      <c r="P219" s="60"/>
      <c r="Q219" s="65"/>
      <c r="R219" s="65"/>
      <c r="S219" s="60"/>
      <c r="T219" s="60"/>
      <c r="U219" s="60"/>
      <c r="V219" s="60"/>
      <c r="W219" s="65"/>
      <c r="X219" s="60"/>
      <c r="Y219" s="60"/>
      <c r="Z219" s="319"/>
      <c r="AA219" s="60"/>
      <c r="AB219" s="60"/>
      <c r="AC219" s="60"/>
      <c r="AD219" s="60"/>
      <c r="AE219" s="60"/>
      <c r="AF219" s="6"/>
      <c r="AG219" s="139"/>
      <c r="AH219" s="139"/>
      <c r="AI219" s="139"/>
      <c r="AJ219" s="139"/>
    </row>
    <row r="220" spans="1:36" s="209" customFormat="1" ht="11.25" customHeight="1">
      <c r="A220" s="588"/>
      <c r="B220" s="65"/>
      <c r="C220" s="65"/>
      <c r="P220" s="60"/>
      <c r="Q220" s="65"/>
      <c r="R220" s="65"/>
      <c r="S220" s="60"/>
      <c r="T220" s="60"/>
      <c r="U220" s="60"/>
      <c r="V220" s="60"/>
      <c r="W220" s="65"/>
      <c r="X220" s="60"/>
      <c r="Y220" s="60"/>
      <c r="Z220" s="319"/>
      <c r="AA220" s="60"/>
      <c r="AB220" s="60"/>
      <c r="AC220" s="60"/>
      <c r="AD220" s="60"/>
      <c r="AE220" s="60"/>
      <c r="AF220" s="6"/>
      <c r="AG220" s="139"/>
      <c r="AH220" s="139"/>
      <c r="AI220" s="139"/>
      <c r="AJ220" s="139"/>
    </row>
    <row r="221" spans="1:36" s="209" customFormat="1" ht="11.25" customHeight="1">
      <c r="A221" s="588"/>
      <c r="B221" s="65"/>
      <c r="C221" s="65"/>
      <c r="P221" s="60"/>
      <c r="Q221" s="65"/>
      <c r="R221" s="65"/>
      <c r="S221" s="60"/>
      <c r="T221" s="60"/>
      <c r="U221" s="60"/>
      <c r="V221" s="60"/>
      <c r="W221" s="65"/>
      <c r="X221" s="60"/>
      <c r="Y221" s="60"/>
      <c r="Z221" s="319"/>
      <c r="AA221" s="60"/>
      <c r="AB221" s="60"/>
      <c r="AC221" s="60"/>
      <c r="AD221" s="60"/>
      <c r="AE221" s="60"/>
      <c r="AF221" s="6"/>
      <c r="AG221" s="139"/>
      <c r="AH221" s="139"/>
      <c r="AI221" s="139"/>
      <c r="AJ221" s="139"/>
    </row>
    <row r="222" spans="1:36" s="209" customFormat="1" ht="11.25" customHeight="1">
      <c r="A222" s="588"/>
      <c r="B222" s="65"/>
      <c r="C222" s="65"/>
      <c r="P222" s="60"/>
      <c r="Q222" s="65"/>
      <c r="R222" s="65"/>
      <c r="S222" s="60"/>
      <c r="T222" s="60"/>
      <c r="U222" s="60"/>
      <c r="V222" s="60"/>
      <c r="W222" s="65"/>
      <c r="X222" s="60"/>
      <c r="Y222" s="60"/>
      <c r="Z222" s="319"/>
      <c r="AA222" s="60"/>
      <c r="AB222" s="60"/>
      <c r="AC222" s="60"/>
      <c r="AD222" s="60"/>
      <c r="AE222" s="60"/>
      <c r="AF222" s="6"/>
      <c r="AG222" s="139"/>
      <c r="AH222" s="139"/>
      <c r="AI222" s="139"/>
      <c r="AJ222" s="139"/>
    </row>
    <row r="223" spans="1:36" s="209" customFormat="1" ht="11.25" customHeight="1">
      <c r="A223" s="588"/>
      <c r="B223" s="65"/>
      <c r="C223" s="65"/>
      <c r="P223" s="60"/>
      <c r="Q223" s="65"/>
      <c r="R223" s="65"/>
      <c r="S223" s="60"/>
      <c r="T223" s="60"/>
      <c r="U223" s="60"/>
      <c r="V223" s="60"/>
      <c r="W223" s="65"/>
      <c r="X223" s="60"/>
      <c r="Y223" s="60"/>
      <c r="Z223" s="319"/>
      <c r="AA223" s="60"/>
      <c r="AB223" s="60"/>
      <c r="AC223" s="60"/>
      <c r="AD223" s="60"/>
      <c r="AE223" s="60"/>
      <c r="AF223" s="6"/>
      <c r="AG223" s="139"/>
      <c r="AH223" s="139"/>
      <c r="AI223" s="139"/>
      <c r="AJ223" s="139"/>
    </row>
    <row r="224" spans="1:36" s="209" customFormat="1" ht="11.25" customHeight="1">
      <c r="A224" s="588"/>
      <c r="B224" s="65"/>
      <c r="C224" s="65"/>
      <c r="P224" s="60"/>
      <c r="Q224" s="65"/>
      <c r="R224" s="65"/>
      <c r="S224" s="60"/>
      <c r="T224" s="60"/>
      <c r="U224" s="60"/>
      <c r="V224" s="60"/>
      <c r="W224" s="65"/>
      <c r="X224" s="60"/>
      <c r="Y224" s="60"/>
      <c r="Z224" s="319"/>
      <c r="AA224" s="60"/>
      <c r="AB224" s="60"/>
      <c r="AC224" s="60"/>
      <c r="AD224" s="60"/>
      <c r="AE224" s="60"/>
      <c r="AF224" s="6"/>
      <c r="AG224" s="139"/>
      <c r="AH224" s="139"/>
      <c r="AI224" s="139"/>
      <c r="AJ224" s="139"/>
    </row>
    <row r="225" spans="1:36" s="209" customFormat="1" ht="11.25" customHeight="1">
      <c r="A225" s="588"/>
      <c r="B225" s="65"/>
      <c r="C225" s="65"/>
      <c r="P225" s="60"/>
      <c r="Q225" s="65"/>
      <c r="R225" s="65"/>
      <c r="S225" s="60"/>
      <c r="T225" s="60"/>
      <c r="U225" s="60"/>
      <c r="V225" s="60"/>
      <c r="W225" s="65"/>
      <c r="X225" s="60"/>
      <c r="Y225" s="60"/>
      <c r="Z225" s="319"/>
      <c r="AA225" s="60"/>
      <c r="AB225" s="60"/>
      <c r="AC225" s="60"/>
      <c r="AD225" s="60"/>
      <c r="AE225" s="60"/>
      <c r="AF225" s="6"/>
      <c r="AG225" s="139"/>
      <c r="AH225" s="139"/>
      <c r="AI225" s="139"/>
      <c r="AJ225" s="139"/>
    </row>
    <row r="226" spans="1:36" s="209" customFormat="1" ht="11.25" customHeight="1">
      <c r="A226" s="588"/>
      <c r="B226" s="65"/>
      <c r="C226" s="65"/>
      <c r="P226" s="60"/>
      <c r="Q226" s="65"/>
      <c r="R226" s="65"/>
      <c r="S226" s="60"/>
      <c r="T226" s="60"/>
      <c r="U226" s="60"/>
      <c r="V226" s="60"/>
      <c r="W226" s="65"/>
      <c r="X226" s="60"/>
      <c r="Y226" s="60"/>
      <c r="Z226" s="319"/>
      <c r="AA226" s="60"/>
      <c r="AB226" s="60"/>
      <c r="AC226" s="60"/>
      <c r="AD226" s="60"/>
      <c r="AE226" s="60"/>
      <c r="AF226" s="6"/>
      <c r="AG226" s="139"/>
      <c r="AH226" s="139"/>
      <c r="AI226" s="139"/>
      <c r="AJ226" s="139"/>
    </row>
    <row r="227" spans="1:36" s="209" customFormat="1" ht="11.25" customHeight="1">
      <c r="A227" s="588"/>
      <c r="B227" s="65"/>
      <c r="C227" s="65"/>
      <c r="P227" s="60"/>
      <c r="Q227" s="65"/>
      <c r="R227" s="65"/>
      <c r="S227" s="60"/>
      <c r="T227" s="60"/>
      <c r="U227" s="60"/>
      <c r="V227" s="60"/>
      <c r="W227" s="65"/>
      <c r="X227" s="60"/>
      <c r="Y227" s="60"/>
      <c r="Z227" s="319"/>
      <c r="AA227" s="60"/>
      <c r="AB227" s="60"/>
      <c r="AC227" s="60"/>
      <c r="AD227" s="60"/>
      <c r="AE227" s="60"/>
      <c r="AF227" s="6"/>
      <c r="AG227" s="139"/>
      <c r="AH227" s="139"/>
      <c r="AI227" s="139"/>
      <c r="AJ227" s="139"/>
    </row>
    <row r="228" spans="1:36" s="209" customFormat="1" ht="11.25" customHeight="1">
      <c r="A228" s="588"/>
      <c r="B228" s="65"/>
      <c r="C228" s="65"/>
      <c r="P228" s="60"/>
      <c r="Q228" s="65"/>
      <c r="R228" s="65"/>
      <c r="S228" s="60"/>
      <c r="T228" s="60"/>
      <c r="U228" s="60"/>
      <c r="V228" s="60"/>
      <c r="W228" s="65"/>
      <c r="X228" s="60"/>
      <c r="Y228" s="60"/>
      <c r="Z228" s="319"/>
      <c r="AA228" s="60"/>
      <c r="AB228" s="60"/>
      <c r="AC228" s="60"/>
      <c r="AD228" s="60"/>
      <c r="AE228" s="60"/>
      <c r="AF228" s="6"/>
      <c r="AG228" s="139"/>
      <c r="AH228" s="139"/>
      <c r="AI228" s="139"/>
      <c r="AJ228" s="139"/>
    </row>
    <row r="229" spans="1:36" s="209" customFormat="1" ht="11.25" customHeight="1">
      <c r="A229" s="588"/>
      <c r="B229" s="65"/>
      <c r="C229" s="65"/>
      <c r="P229" s="60"/>
      <c r="Q229" s="65"/>
      <c r="R229" s="65"/>
      <c r="S229" s="60"/>
      <c r="T229" s="60"/>
      <c r="U229" s="60"/>
      <c r="V229" s="60"/>
      <c r="W229" s="65"/>
      <c r="X229" s="60"/>
      <c r="Y229" s="60"/>
      <c r="Z229" s="319"/>
      <c r="AA229" s="60"/>
      <c r="AB229" s="60"/>
      <c r="AC229" s="60"/>
      <c r="AD229" s="60"/>
      <c r="AE229" s="60"/>
      <c r="AF229" s="6"/>
      <c r="AG229" s="139"/>
      <c r="AH229" s="139"/>
      <c r="AI229" s="139"/>
      <c r="AJ229" s="139"/>
    </row>
    <row r="230" spans="1:36" s="209" customFormat="1" ht="11.25" customHeight="1">
      <c r="A230" s="588"/>
      <c r="B230" s="65"/>
      <c r="C230" s="65"/>
      <c r="P230" s="60"/>
      <c r="Q230" s="65"/>
      <c r="R230" s="65"/>
      <c r="S230" s="60"/>
      <c r="T230" s="60"/>
      <c r="U230" s="60"/>
      <c r="V230" s="60"/>
      <c r="W230" s="65"/>
      <c r="X230" s="60"/>
      <c r="Y230" s="60"/>
      <c r="Z230" s="319"/>
      <c r="AA230" s="60"/>
      <c r="AB230" s="60"/>
      <c r="AC230" s="60"/>
      <c r="AD230" s="60"/>
      <c r="AE230" s="60"/>
      <c r="AF230" s="6"/>
      <c r="AG230" s="139"/>
      <c r="AH230" s="139"/>
      <c r="AI230" s="139"/>
      <c r="AJ230" s="139"/>
    </row>
    <row r="231" spans="1:36" s="209" customFormat="1" ht="11.25" customHeight="1">
      <c r="A231" s="588"/>
      <c r="B231" s="65"/>
      <c r="C231" s="65"/>
      <c r="P231" s="60"/>
      <c r="Q231" s="65"/>
      <c r="R231" s="65"/>
      <c r="S231" s="60"/>
      <c r="T231" s="60"/>
      <c r="U231" s="60"/>
      <c r="V231" s="60"/>
      <c r="W231" s="65"/>
      <c r="X231" s="60"/>
      <c r="Y231" s="60"/>
      <c r="Z231" s="319"/>
      <c r="AA231" s="60"/>
      <c r="AB231" s="60"/>
      <c r="AC231" s="60"/>
      <c r="AD231" s="60"/>
      <c r="AE231" s="60"/>
      <c r="AF231" s="6"/>
      <c r="AG231" s="139"/>
      <c r="AH231" s="139"/>
      <c r="AI231" s="139"/>
      <c r="AJ231" s="139"/>
    </row>
    <row r="232" spans="1:36" s="209" customFormat="1" ht="11.25" customHeight="1">
      <c r="A232" s="588"/>
      <c r="B232" s="65"/>
      <c r="C232" s="65"/>
      <c r="P232" s="60"/>
      <c r="Q232" s="65"/>
      <c r="R232" s="65"/>
      <c r="S232" s="60"/>
      <c r="T232" s="60"/>
      <c r="U232" s="60"/>
      <c r="V232" s="60"/>
      <c r="W232" s="65"/>
      <c r="X232" s="60"/>
      <c r="Y232" s="60"/>
      <c r="Z232" s="319"/>
      <c r="AA232" s="60"/>
      <c r="AB232" s="60"/>
      <c r="AC232" s="60"/>
      <c r="AD232" s="60"/>
      <c r="AE232" s="60"/>
      <c r="AF232" s="6"/>
      <c r="AG232" s="139"/>
      <c r="AH232" s="139"/>
      <c r="AI232" s="139"/>
      <c r="AJ232" s="139"/>
    </row>
    <row r="233" spans="1:36" s="209" customFormat="1" ht="11.25" customHeight="1">
      <c r="A233" s="588"/>
      <c r="B233" s="65"/>
      <c r="C233" s="65"/>
      <c r="P233" s="60"/>
      <c r="Q233" s="65"/>
      <c r="R233" s="65"/>
      <c r="S233" s="60"/>
      <c r="T233" s="60"/>
      <c r="U233" s="60"/>
      <c r="V233" s="60"/>
      <c r="W233" s="65"/>
      <c r="X233" s="60"/>
      <c r="Y233" s="60"/>
      <c r="Z233" s="319"/>
      <c r="AA233" s="60"/>
      <c r="AB233" s="60"/>
      <c r="AC233" s="60"/>
      <c r="AD233" s="60"/>
      <c r="AE233" s="60"/>
      <c r="AF233" s="6"/>
      <c r="AG233" s="139"/>
      <c r="AH233" s="139"/>
      <c r="AI233" s="139"/>
      <c r="AJ233" s="139"/>
    </row>
    <row r="234" spans="1:36" s="209" customFormat="1" ht="11.25" customHeight="1">
      <c r="A234" s="588"/>
      <c r="B234" s="65"/>
      <c r="C234" s="65"/>
      <c r="P234" s="60"/>
      <c r="Q234" s="65"/>
      <c r="R234" s="65"/>
      <c r="S234" s="60"/>
      <c r="T234" s="60"/>
      <c r="U234" s="60"/>
      <c r="V234" s="60"/>
      <c r="W234" s="65"/>
      <c r="X234" s="60"/>
      <c r="Y234" s="60"/>
      <c r="Z234" s="319"/>
      <c r="AA234" s="60"/>
      <c r="AB234" s="60"/>
      <c r="AC234" s="60"/>
      <c r="AD234" s="60"/>
      <c r="AE234" s="60"/>
      <c r="AF234" s="6"/>
      <c r="AG234" s="139"/>
      <c r="AH234" s="139"/>
      <c r="AI234" s="139"/>
      <c r="AJ234" s="139"/>
    </row>
    <row r="235" spans="1:36" s="209" customFormat="1" ht="11.25" customHeight="1">
      <c r="A235" s="588"/>
      <c r="B235" s="65"/>
      <c r="C235" s="65"/>
      <c r="P235" s="60"/>
      <c r="Q235" s="65"/>
      <c r="R235" s="65"/>
      <c r="S235" s="60"/>
      <c r="T235" s="60"/>
      <c r="U235" s="60"/>
      <c r="V235" s="60"/>
      <c r="W235" s="65"/>
      <c r="X235" s="60"/>
      <c r="Y235" s="60"/>
      <c r="Z235" s="319"/>
      <c r="AA235" s="60"/>
      <c r="AB235" s="60"/>
      <c r="AC235" s="60"/>
      <c r="AD235" s="60"/>
      <c r="AE235" s="60"/>
      <c r="AF235" s="6"/>
      <c r="AG235" s="139"/>
      <c r="AH235" s="139"/>
      <c r="AI235" s="139"/>
      <c r="AJ235" s="139"/>
    </row>
    <row r="236" spans="1:36" s="209" customFormat="1" ht="11.25" customHeight="1">
      <c r="A236" s="588"/>
      <c r="B236" s="65"/>
      <c r="C236" s="65"/>
      <c r="P236" s="60"/>
      <c r="Q236" s="65"/>
      <c r="R236" s="65"/>
      <c r="S236" s="60"/>
      <c r="T236" s="60"/>
      <c r="U236" s="60"/>
      <c r="V236" s="60"/>
      <c r="W236" s="65"/>
      <c r="X236" s="60"/>
      <c r="Y236" s="60"/>
      <c r="Z236" s="319"/>
      <c r="AA236" s="60"/>
      <c r="AB236" s="60"/>
      <c r="AC236" s="60"/>
      <c r="AD236" s="60"/>
      <c r="AE236" s="60"/>
      <c r="AF236" s="6"/>
      <c r="AG236" s="139"/>
      <c r="AH236" s="139"/>
      <c r="AI236" s="139"/>
      <c r="AJ236" s="139"/>
    </row>
    <row r="237" spans="1:36" s="209" customFormat="1" ht="11.25" customHeight="1">
      <c r="A237" s="588"/>
      <c r="B237" s="65"/>
      <c r="C237" s="65"/>
      <c r="P237" s="60"/>
      <c r="Q237" s="65"/>
      <c r="R237" s="65"/>
      <c r="S237" s="60"/>
      <c r="T237" s="60"/>
      <c r="U237" s="60"/>
      <c r="V237" s="60"/>
      <c r="W237" s="65"/>
      <c r="X237" s="60"/>
      <c r="Y237" s="60"/>
      <c r="Z237" s="319"/>
      <c r="AA237" s="60"/>
      <c r="AB237" s="60"/>
      <c r="AC237" s="60"/>
      <c r="AD237" s="60"/>
      <c r="AE237" s="60"/>
      <c r="AF237" s="6"/>
      <c r="AG237" s="139"/>
      <c r="AH237" s="139"/>
      <c r="AI237" s="139"/>
      <c r="AJ237" s="139"/>
    </row>
    <row r="238" spans="1:36" s="209" customFormat="1" ht="11.25" customHeight="1">
      <c r="A238" s="588"/>
      <c r="B238" s="65"/>
      <c r="C238" s="65"/>
      <c r="P238" s="60"/>
      <c r="Q238" s="65"/>
      <c r="R238" s="65"/>
      <c r="S238" s="60"/>
      <c r="T238" s="60"/>
      <c r="U238" s="60"/>
      <c r="V238" s="60"/>
      <c r="W238" s="65"/>
      <c r="X238" s="60"/>
      <c r="Y238" s="60"/>
      <c r="Z238" s="319"/>
      <c r="AA238" s="60"/>
      <c r="AB238" s="60"/>
      <c r="AC238" s="60"/>
      <c r="AD238" s="60"/>
      <c r="AE238" s="60"/>
      <c r="AF238" s="6"/>
      <c r="AG238" s="139"/>
      <c r="AH238" s="139"/>
      <c r="AI238" s="139"/>
      <c r="AJ238" s="139"/>
    </row>
    <row r="239" spans="1:36" s="209" customFormat="1" ht="11.25" customHeight="1">
      <c r="A239" s="588"/>
      <c r="B239" s="65"/>
      <c r="C239" s="65"/>
      <c r="P239" s="60"/>
      <c r="Q239" s="65"/>
      <c r="R239" s="65"/>
      <c r="S239" s="60"/>
      <c r="T239" s="60"/>
      <c r="U239" s="60"/>
      <c r="V239" s="60"/>
      <c r="W239" s="65"/>
      <c r="X239" s="60"/>
      <c r="Y239" s="60"/>
      <c r="Z239" s="319"/>
      <c r="AA239" s="60"/>
      <c r="AB239" s="60"/>
      <c r="AC239" s="60"/>
      <c r="AD239" s="60"/>
      <c r="AE239" s="60"/>
      <c r="AF239" s="6"/>
      <c r="AG239" s="139"/>
      <c r="AH239" s="139"/>
      <c r="AI239" s="139"/>
      <c r="AJ239" s="139"/>
    </row>
    <row r="240" spans="1:36" s="209" customFormat="1" ht="11.25" customHeight="1">
      <c r="A240" s="588"/>
      <c r="B240" s="65"/>
      <c r="C240" s="65"/>
      <c r="P240" s="60"/>
      <c r="Q240" s="65"/>
      <c r="R240" s="65"/>
      <c r="S240" s="60"/>
      <c r="T240" s="60"/>
      <c r="U240" s="60"/>
      <c r="V240" s="60"/>
      <c r="W240" s="65"/>
      <c r="X240" s="60"/>
      <c r="Y240" s="60"/>
      <c r="Z240" s="319"/>
      <c r="AA240" s="60"/>
      <c r="AB240" s="60"/>
      <c r="AC240" s="60"/>
      <c r="AD240" s="60"/>
      <c r="AE240" s="60"/>
      <c r="AF240" s="6"/>
      <c r="AG240" s="139"/>
      <c r="AH240" s="139"/>
      <c r="AI240" s="139"/>
      <c r="AJ240" s="139"/>
    </row>
    <row r="241" spans="1:36" s="209" customFormat="1" ht="11.25" customHeight="1">
      <c r="A241" s="588"/>
      <c r="B241" s="65"/>
      <c r="C241" s="65"/>
      <c r="P241" s="60"/>
      <c r="Q241" s="65"/>
      <c r="R241" s="65"/>
      <c r="S241" s="60"/>
      <c r="T241" s="60"/>
      <c r="U241" s="60"/>
      <c r="V241" s="60"/>
      <c r="W241" s="65"/>
      <c r="X241" s="60"/>
      <c r="Y241" s="60"/>
      <c r="Z241" s="319"/>
      <c r="AA241" s="60"/>
      <c r="AB241" s="60"/>
      <c r="AC241" s="60"/>
      <c r="AD241" s="60"/>
      <c r="AE241" s="60"/>
      <c r="AF241" s="6"/>
      <c r="AG241" s="139"/>
      <c r="AH241" s="139"/>
      <c r="AI241" s="139"/>
      <c r="AJ241" s="139"/>
    </row>
    <row r="242" spans="1:36" s="209" customFormat="1" ht="11.25" customHeight="1">
      <c r="A242" s="588"/>
      <c r="B242" s="65"/>
      <c r="C242" s="65"/>
      <c r="P242" s="60"/>
      <c r="Q242" s="65"/>
      <c r="R242" s="65"/>
      <c r="S242" s="60"/>
      <c r="T242" s="60"/>
      <c r="U242" s="60"/>
      <c r="V242" s="60"/>
      <c r="W242" s="65"/>
      <c r="X242" s="60"/>
      <c r="Y242" s="60"/>
      <c r="Z242" s="319"/>
      <c r="AA242" s="60"/>
      <c r="AB242" s="60"/>
      <c r="AC242" s="60"/>
      <c r="AD242" s="60"/>
      <c r="AE242" s="60"/>
      <c r="AF242" s="6"/>
      <c r="AG242" s="139"/>
      <c r="AH242" s="139"/>
      <c r="AI242" s="139"/>
      <c r="AJ242" s="139"/>
    </row>
    <row r="243" spans="1:36" s="209" customFormat="1" ht="11.25" customHeight="1">
      <c r="A243" s="588"/>
      <c r="B243" s="65"/>
      <c r="C243" s="65"/>
      <c r="P243" s="60"/>
      <c r="Q243" s="65"/>
      <c r="R243" s="65"/>
      <c r="S243" s="60"/>
      <c r="T243" s="60"/>
      <c r="U243" s="60"/>
      <c r="V243" s="60"/>
      <c r="W243" s="65"/>
      <c r="X243" s="60"/>
      <c r="Y243" s="60"/>
      <c r="Z243" s="319"/>
      <c r="AA243" s="60"/>
      <c r="AB243" s="60"/>
      <c r="AC243" s="60"/>
      <c r="AD243" s="60"/>
      <c r="AE243" s="60"/>
      <c r="AF243" s="6"/>
      <c r="AG243" s="139"/>
      <c r="AH243" s="139"/>
      <c r="AI243" s="139"/>
      <c r="AJ243" s="139"/>
    </row>
    <row r="244" spans="1:36" s="209" customFormat="1" ht="11.25" customHeight="1">
      <c r="A244" s="588"/>
      <c r="B244" s="65"/>
      <c r="C244" s="65"/>
      <c r="P244" s="60"/>
      <c r="Q244" s="65"/>
      <c r="R244" s="65"/>
      <c r="S244" s="60"/>
      <c r="T244" s="60"/>
      <c r="U244" s="60"/>
      <c r="V244" s="60"/>
      <c r="W244" s="65"/>
      <c r="X244" s="60"/>
      <c r="Y244" s="60"/>
      <c r="Z244" s="319"/>
      <c r="AA244" s="60"/>
      <c r="AB244" s="60"/>
      <c r="AC244" s="60"/>
      <c r="AD244" s="60"/>
      <c r="AE244" s="60"/>
      <c r="AF244" s="6"/>
      <c r="AG244" s="139"/>
      <c r="AH244" s="139"/>
      <c r="AI244" s="139"/>
      <c r="AJ244" s="139"/>
    </row>
    <row r="245" spans="1:36" s="209" customFormat="1" ht="11.25" customHeight="1">
      <c r="A245" s="588"/>
      <c r="B245" s="65"/>
      <c r="C245" s="65"/>
      <c r="P245" s="60"/>
      <c r="Q245" s="65"/>
      <c r="R245" s="65"/>
      <c r="S245" s="60"/>
      <c r="T245" s="60"/>
      <c r="U245" s="60"/>
      <c r="V245" s="60"/>
      <c r="W245" s="65"/>
      <c r="X245" s="60"/>
      <c r="Y245" s="60"/>
      <c r="Z245" s="319"/>
      <c r="AA245" s="60"/>
      <c r="AB245" s="60"/>
      <c r="AC245" s="60"/>
      <c r="AD245" s="60"/>
      <c r="AE245" s="60"/>
      <c r="AF245" s="6"/>
      <c r="AG245" s="139"/>
      <c r="AH245" s="139"/>
      <c r="AI245" s="139"/>
      <c r="AJ245" s="139"/>
    </row>
    <row r="246" spans="1:36" s="209" customFormat="1" ht="11.25" customHeight="1">
      <c r="A246" s="588"/>
      <c r="B246" s="65"/>
      <c r="C246" s="65"/>
      <c r="P246" s="60"/>
      <c r="Q246" s="65"/>
      <c r="R246" s="65"/>
      <c r="S246" s="60"/>
      <c r="T246" s="60"/>
      <c r="U246" s="60"/>
      <c r="V246" s="60"/>
      <c r="W246" s="65"/>
      <c r="X246" s="60"/>
      <c r="Y246" s="60"/>
      <c r="Z246" s="319"/>
      <c r="AA246" s="60"/>
      <c r="AB246" s="60"/>
      <c r="AC246" s="60"/>
      <c r="AD246" s="60"/>
      <c r="AE246" s="60"/>
      <c r="AF246" s="6"/>
      <c r="AG246" s="139"/>
      <c r="AH246" s="139"/>
      <c r="AI246" s="139"/>
      <c r="AJ246" s="139"/>
    </row>
    <row r="247" spans="1:36" s="209" customFormat="1" ht="11.25" customHeight="1">
      <c r="A247" s="588"/>
      <c r="B247" s="65"/>
      <c r="C247" s="65"/>
      <c r="P247" s="60"/>
      <c r="Q247" s="65"/>
      <c r="R247" s="65"/>
      <c r="S247" s="60"/>
      <c r="T247" s="60"/>
      <c r="U247" s="60"/>
      <c r="V247" s="60"/>
      <c r="W247" s="65"/>
      <c r="X247" s="60"/>
      <c r="Y247" s="60"/>
      <c r="Z247" s="319"/>
      <c r="AA247" s="60"/>
      <c r="AB247" s="60"/>
      <c r="AC247" s="60"/>
      <c r="AD247" s="60"/>
      <c r="AE247" s="60"/>
      <c r="AF247" s="6"/>
      <c r="AG247" s="139"/>
      <c r="AH247" s="139"/>
      <c r="AI247" s="139"/>
      <c r="AJ247" s="139"/>
    </row>
    <row r="248" spans="1:36" s="209" customFormat="1" ht="11.25" customHeight="1">
      <c r="A248" s="588"/>
      <c r="B248" s="65"/>
      <c r="C248" s="65"/>
      <c r="P248" s="60"/>
      <c r="Q248" s="65"/>
      <c r="R248" s="65"/>
      <c r="S248" s="60"/>
      <c r="T248" s="60"/>
      <c r="U248" s="60"/>
      <c r="V248" s="60"/>
      <c r="W248" s="65"/>
      <c r="X248" s="60"/>
      <c r="Y248" s="60"/>
      <c r="Z248" s="319"/>
      <c r="AA248" s="60"/>
      <c r="AB248" s="60"/>
      <c r="AC248" s="60"/>
      <c r="AD248" s="60"/>
      <c r="AE248" s="60"/>
      <c r="AF248" s="6"/>
      <c r="AG248" s="139"/>
      <c r="AH248" s="139"/>
      <c r="AI248" s="139"/>
      <c r="AJ248" s="139"/>
    </row>
    <row r="249" spans="1:36" s="209" customFormat="1" ht="11.25" customHeight="1">
      <c r="A249" s="588"/>
      <c r="B249" s="65"/>
      <c r="C249" s="65"/>
      <c r="P249" s="60"/>
      <c r="Q249" s="65"/>
      <c r="R249" s="65"/>
      <c r="S249" s="60"/>
      <c r="T249" s="60"/>
      <c r="U249" s="60"/>
      <c r="V249" s="60"/>
      <c r="W249" s="65"/>
      <c r="X249" s="60"/>
      <c r="Y249" s="60"/>
      <c r="Z249" s="319"/>
      <c r="AA249" s="60"/>
      <c r="AB249" s="60"/>
      <c r="AC249" s="60"/>
      <c r="AD249" s="60"/>
      <c r="AE249" s="60"/>
      <c r="AF249" s="6"/>
      <c r="AG249" s="139"/>
      <c r="AH249" s="139"/>
      <c r="AI249" s="139"/>
      <c r="AJ249" s="139"/>
    </row>
    <row r="250" spans="1:36" s="209" customFormat="1" ht="11.25" customHeight="1">
      <c r="A250" s="588"/>
      <c r="B250" s="65"/>
      <c r="C250" s="65"/>
      <c r="P250" s="60"/>
      <c r="Q250" s="65"/>
      <c r="R250" s="65"/>
      <c r="S250" s="60"/>
      <c r="T250" s="60"/>
      <c r="U250" s="60"/>
      <c r="V250" s="60"/>
      <c r="W250" s="65"/>
      <c r="X250" s="60"/>
      <c r="Y250" s="60"/>
      <c r="Z250" s="319"/>
      <c r="AA250" s="60"/>
      <c r="AB250" s="60"/>
      <c r="AC250" s="60"/>
      <c r="AD250" s="60"/>
      <c r="AE250" s="60"/>
      <c r="AF250" s="6"/>
      <c r="AG250" s="139"/>
      <c r="AH250" s="139"/>
      <c r="AI250" s="139"/>
      <c r="AJ250" s="139"/>
    </row>
    <row r="251" spans="1:36" s="209" customFormat="1" ht="11.25" customHeight="1">
      <c r="A251" s="588"/>
      <c r="B251" s="65"/>
      <c r="C251" s="65"/>
      <c r="P251" s="60"/>
      <c r="Q251" s="65"/>
      <c r="R251" s="65"/>
      <c r="S251" s="60"/>
      <c r="T251" s="60"/>
      <c r="U251" s="60"/>
      <c r="V251" s="60"/>
      <c r="W251" s="65"/>
      <c r="X251" s="60"/>
      <c r="Y251" s="60"/>
      <c r="Z251" s="319"/>
      <c r="AA251" s="60"/>
      <c r="AB251" s="60"/>
      <c r="AC251" s="60"/>
      <c r="AD251" s="60"/>
      <c r="AE251" s="60"/>
      <c r="AF251" s="6"/>
      <c r="AG251" s="139"/>
      <c r="AH251" s="139"/>
      <c r="AI251" s="139"/>
      <c r="AJ251" s="139"/>
    </row>
    <row r="252" spans="1:36" s="209" customFormat="1" ht="11.25" customHeight="1">
      <c r="A252" s="588"/>
      <c r="B252" s="65"/>
      <c r="C252" s="65"/>
      <c r="P252" s="60"/>
      <c r="Q252" s="65"/>
      <c r="R252" s="65"/>
      <c r="S252" s="60"/>
      <c r="T252" s="60"/>
      <c r="U252" s="60"/>
      <c r="V252" s="60"/>
      <c r="W252" s="65"/>
      <c r="X252" s="60"/>
      <c r="Y252" s="60"/>
      <c r="Z252" s="319"/>
      <c r="AA252" s="60"/>
      <c r="AB252" s="60"/>
      <c r="AC252" s="60"/>
      <c r="AD252" s="60"/>
      <c r="AE252" s="60"/>
      <c r="AF252" s="6"/>
      <c r="AG252" s="139"/>
      <c r="AH252" s="139"/>
      <c r="AI252" s="139"/>
      <c r="AJ252" s="139"/>
    </row>
    <row r="253" spans="1:36" s="209" customFormat="1" ht="11.25" customHeight="1">
      <c r="A253" s="588"/>
      <c r="B253" s="65"/>
      <c r="C253" s="65"/>
      <c r="P253" s="60"/>
      <c r="Q253" s="65"/>
      <c r="R253" s="65"/>
      <c r="S253" s="60"/>
      <c r="T253" s="60"/>
      <c r="U253" s="60"/>
      <c r="V253" s="60"/>
      <c r="W253" s="65"/>
      <c r="X253" s="60"/>
      <c r="Y253" s="60"/>
      <c r="Z253" s="319"/>
      <c r="AA253" s="60"/>
      <c r="AB253" s="60"/>
      <c r="AC253" s="60"/>
      <c r="AD253" s="60"/>
      <c r="AE253" s="60"/>
      <c r="AF253" s="6"/>
      <c r="AG253" s="139"/>
      <c r="AH253" s="139"/>
      <c r="AI253" s="139"/>
      <c r="AJ253" s="139"/>
    </row>
    <row r="254" spans="1:36" s="209" customFormat="1" ht="11.25" customHeight="1">
      <c r="A254" s="588"/>
      <c r="B254" s="65"/>
      <c r="C254" s="65"/>
      <c r="P254" s="60"/>
      <c r="Q254" s="65"/>
      <c r="R254" s="65"/>
      <c r="S254" s="60"/>
      <c r="T254" s="60"/>
      <c r="U254" s="60"/>
      <c r="V254" s="60"/>
      <c r="W254" s="65"/>
      <c r="X254" s="60"/>
      <c r="Y254" s="60"/>
      <c r="Z254" s="319"/>
      <c r="AA254" s="60"/>
      <c r="AB254" s="60"/>
      <c r="AC254" s="60"/>
      <c r="AD254" s="60"/>
      <c r="AE254" s="60"/>
      <c r="AF254" s="6"/>
      <c r="AG254" s="139"/>
      <c r="AH254" s="139"/>
      <c r="AI254" s="139"/>
      <c r="AJ254" s="139"/>
    </row>
    <row r="255" spans="1:36" s="209" customFormat="1" ht="11.25" customHeight="1">
      <c r="A255" s="588"/>
      <c r="B255" s="65"/>
      <c r="C255" s="65"/>
      <c r="P255" s="60"/>
      <c r="Q255" s="65"/>
      <c r="R255" s="65"/>
      <c r="S255" s="60"/>
      <c r="T255" s="60"/>
      <c r="U255" s="60"/>
      <c r="V255" s="60"/>
      <c r="W255" s="65"/>
      <c r="X255" s="60"/>
      <c r="Y255" s="60"/>
      <c r="Z255" s="319"/>
      <c r="AA255" s="60"/>
      <c r="AB255" s="60"/>
      <c r="AC255" s="60"/>
      <c r="AD255" s="60"/>
      <c r="AE255" s="60"/>
      <c r="AF255" s="6"/>
      <c r="AG255" s="139"/>
      <c r="AH255" s="139"/>
      <c r="AI255" s="139"/>
      <c r="AJ255" s="139"/>
    </row>
    <row r="256" spans="1:36" s="209" customFormat="1" ht="11.25" customHeight="1">
      <c r="A256" s="588"/>
      <c r="B256" s="65"/>
      <c r="C256" s="65"/>
      <c r="P256" s="60"/>
      <c r="Q256" s="65"/>
      <c r="R256" s="65"/>
      <c r="S256" s="60"/>
      <c r="T256" s="60"/>
      <c r="U256" s="60"/>
      <c r="V256" s="60"/>
      <c r="W256" s="65"/>
      <c r="X256" s="60"/>
      <c r="Y256" s="60"/>
      <c r="Z256" s="319"/>
      <c r="AA256" s="60"/>
      <c r="AB256" s="60"/>
      <c r="AC256" s="60"/>
      <c r="AD256" s="60"/>
      <c r="AE256" s="60"/>
      <c r="AF256" s="6"/>
      <c r="AG256" s="139"/>
      <c r="AH256" s="139"/>
      <c r="AI256" s="139"/>
      <c r="AJ256" s="139"/>
    </row>
    <row r="257" spans="1:36" s="209" customFormat="1" ht="11.25" customHeight="1">
      <c r="A257" s="588"/>
      <c r="B257" s="65"/>
      <c r="C257" s="65"/>
      <c r="P257" s="60"/>
      <c r="Q257" s="65"/>
      <c r="R257" s="65"/>
      <c r="S257" s="60"/>
      <c r="T257" s="60"/>
      <c r="U257" s="60"/>
      <c r="V257" s="60"/>
      <c r="W257" s="65"/>
      <c r="X257" s="60"/>
      <c r="Y257" s="60"/>
      <c r="Z257" s="319"/>
      <c r="AA257" s="60"/>
      <c r="AB257" s="60"/>
      <c r="AC257" s="60"/>
      <c r="AD257" s="60"/>
      <c r="AE257" s="60"/>
      <c r="AF257" s="6"/>
      <c r="AG257" s="139"/>
      <c r="AH257" s="139"/>
      <c r="AI257" s="139"/>
      <c r="AJ257" s="139"/>
    </row>
    <row r="258" spans="1:36" s="209" customFormat="1" ht="11.25" customHeight="1">
      <c r="A258" s="588"/>
      <c r="B258" s="65"/>
      <c r="C258" s="65"/>
      <c r="P258" s="60"/>
      <c r="Q258" s="65"/>
      <c r="R258" s="65"/>
      <c r="S258" s="60"/>
      <c r="T258" s="60"/>
      <c r="U258" s="60"/>
      <c r="V258" s="60"/>
      <c r="W258" s="65"/>
      <c r="X258" s="60"/>
      <c r="Y258" s="60"/>
      <c r="Z258" s="319"/>
      <c r="AA258" s="60"/>
      <c r="AB258" s="60"/>
      <c r="AC258" s="60"/>
      <c r="AD258" s="60"/>
      <c r="AE258" s="60"/>
      <c r="AF258" s="6"/>
      <c r="AG258" s="139"/>
      <c r="AH258" s="139"/>
      <c r="AI258" s="139"/>
      <c r="AJ258" s="139"/>
    </row>
    <row r="259" spans="1:36" s="209" customFormat="1" ht="11.25" customHeight="1">
      <c r="A259" s="588"/>
      <c r="B259" s="65"/>
      <c r="C259" s="65"/>
      <c r="P259" s="60"/>
      <c r="Q259" s="65"/>
      <c r="R259" s="65"/>
      <c r="S259" s="60"/>
      <c r="T259" s="60"/>
      <c r="U259" s="60"/>
      <c r="V259" s="60"/>
      <c r="W259" s="65"/>
      <c r="X259" s="60"/>
      <c r="Y259" s="60"/>
      <c r="Z259" s="319"/>
      <c r="AA259" s="60"/>
      <c r="AB259" s="60"/>
      <c r="AC259" s="60"/>
      <c r="AD259" s="60"/>
      <c r="AE259" s="60"/>
      <c r="AF259" s="6"/>
      <c r="AG259" s="139"/>
      <c r="AH259" s="139"/>
      <c r="AI259" s="139"/>
      <c r="AJ259" s="139"/>
    </row>
    <row r="260" spans="1:36" s="209" customFormat="1" ht="11.25" customHeight="1">
      <c r="A260" s="588"/>
      <c r="B260" s="65"/>
      <c r="C260" s="65"/>
      <c r="P260" s="60"/>
      <c r="Q260" s="65"/>
      <c r="R260" s="65"/>
      <c r="S260" s="60"/>
      <c r="T260" s="60"/>
      <c r="U260" s="60"/>
      <c r="V260" s="60"/>
      <c r="W260" s="65"/>
      <c r="X260" s="60"/>
      <c r="Y260" s="60"/>
      <c r="Z260" s="319"/>
      <c r="AA260" s="60"/>
      <c r="AB260" s="60"/>
      <c r="AC260" s="60"/>
      <c r="AD260" s="60"/>
      <c r="AE260" s="60"/>
      <c r="AF260" s="6"/>
      <c r="AG260" s="139"/>
      <c r="AH260" s="139"/>
      <c r="AI260" s="139"/>
      <c r="AJ260" s="139"/>
    </row>
    <row r="261" spans="1:36" s="209" customFormat="1" ht="11.25" customHeight="1">
      <c r="A261" s="588"/>
      <c r="B261" s="65"/>
      <c r="C261" s="65"/>
      <c r="P261" s="60"/>
      <c r="Q261" s="65"/>
      <c r="R261" s="65"/>
      <c r="S261" s="60"/>
      <c r="T261" s="60"/>
      <c r="U261" s="60"/>
      <c r="V261" s="60"/>
      <c r="W261" s="65"/>
      <c r="X261" s="60"/>
      <c r="Y261" s="60"/>
      <c r="Z261" s="319"/>
      <c r="AA261" s="60"/>
      <c r="AB261" s="60"/>
      <c r="AC261" s="60"/>
      <c r="AD261" s="60"/>
      <c r="AE261" s="60"/>
      <c r="AF261" s="6"/>
      <c r="AG261" s="139"/>
      <c r="AH261" s="139"/>
      <c r="AI261" s="139"/>
      <c r="AJ261" s="139"/>
    </row>
    <row r="262" spans="1:36" s="209" customFormat="1" ht="11.25" customHeight="1">
      <c r="A262" s="588"/>
      <c r="B262" s="65"/>
      <c r="C262" s="65"/>
      <c r="P262" s="60"/>
      <c r="Q262" s="65"/>
      <c r="R262" s="65"/>
      <c r="S262" s="60"/>
      <c r="T262" s="60"/>
      <c r="U262" s="60"/>
      <c r="V262" s="60"/>
      <c r="W262" s="65"/>
      <c r="X262" s="60"/>
      <c r="Y262" s="60"/>
      <c r="Z262" s="319"/>
      <c r="AA262" s="60"/>
      <c r="AB262" s="60"/>
      <c r="AC262" s="60"/>
      <c r="AD262" s="60"/>
      <c r="AE262" s="60"/>
      <c r="AF262" s="6"/>
      <c r="AG262" s="139"/>
      <c r="AH262" s="139"/>
      <c r="AI262" s="139"/>
      <c r="AJ262" s="139"/>
    </row>
    <row r="263" spans="1:36" s="209" customFormat="1" ht="11.25" customHeight="1">
      <c r="A263" s="588"/>
      <c r="B263" s="65"/>
      <c r="C263" s="65"/>
      <c r="P263" s="60"/>
      <c r="Q263" s="65"/>
      <c r="R263" s="65"/>
      <c r="S263" s="60"/>
      <c r="T263" s="60"/>
      <c r="U263" s="60"/>
      <c r="V263" s="60"/>
      <c r="W263" s="65"/>
      <c r="X263" s="60"/>
      <c r="Y263" s="60"/>
      <c r="Z263" s="319"/>
      <c r="AA263" s="60"/>
      <c r="AB263" s="60"/>
      <c r="AC263" s="60"/>
      <c r="AD263" s="60"/>
      <c r="AE263" s="60"/>
      <c r="AF263" s="6"/>
      <c r="AG263" s="139"/>
      <c r="AH263" s="139"/>
      <c r="AI263" s="139"/>
      <c r="AJ263" s="139"/>
    </row>
    <row r="264" spans="1:36" s="209" customFormat="1" ht="11.25" customHeight="1">
      <c r="A264" s="588"/>
      <c r="B264" s="65"/>
      <c r="C264" s="65"/>
      <c r="P264" s="60"/>
      <c r="Q264" s="65"/>
      <c r="R264" s="65"/>
      <c r="S264" s="60"/>
      <c r="T264" s="60"/>
      <c r="U264" s="60"/>
      <c r="V264" s="60"/>
      <c r="W264" s="65"/>
      <c r="X264" s="60"/>
      <c r="Y264" s="60"/>
      <c r="Z264" s="319"/>
      <c r="AA264" s="60"/>
      <c r="AB264" s="60"/>
      <c r="AC264" s="60"/>
      <c r="AD264" s="60"/>
      <c r="AE264" s="60"/>
      <c r="AF264" s="6"/>
      <c r="AG264" s="139"/>
      <c r="AH264" s="139"/>
      <c r="AI264" s="139"/>
      <c r="AJ264" s="139"/>
    </row>
    <row r="265" spans="1:36" s="209" customFormat="1" ht="11.25" customHeight="1">
      <c r="A265" s="588"/>
      <c r="B265" s="65"/>
      <c r="C265" s="65"/>
      <c r="P265" s="60"/>
      <c r="Q265" s="65"/>
      <c r="R265" s="65"/>
      <c r="S265" s="60"/>
      <c r="T265" s="60"/>
      <c r="U265" s="60"/>
      <c r="V265" s="60"/>
      <c r="W265" s="65"/>
      <c r="X265" s="60"/>
      <c r="Y265" s="60"/>
      <c r="Z265" s="319"/>
      <c r="AA265" s="60"/>
      <c r="AB265" s="60"/>
      <c r="AC265" s="60"/>
      <c r="AD265" s="60"/>
      <c r="AE265" s="60"/>
      <c r="AF265" s="6"/>
      <c r="AG265" s="139"/>
      <c r="AH265" s="139"/>
      <c r="AI265" s="139"/>
      <c r="AJ265" s="139"/>
    </row>
    <row r="266" spans="1:36" s="209" customFormat="1" ht="11.25" customHeight="1">
      <c r="A266" s="588"/>
      <c r="B266" s="65"/>
      <c r="C266" s="65"/>
      <c r="P266" s="60"/>
      <c r="Q266" s="65"/>
      <c r="R266" s="65"/>
      <c r="S266" s="60"/>
      <c r="T266" s="60"/>
      <c r="U266" s="60"/>
      <c r="V266" s="60"/>
      <c r="W266" s="65"/>
      <c r="X266" s="60"/>
      <c r="Y266" s="60"/>
      <c r="Z266" s="319"/>
      <c r="AA266" s="60"/>
      <c r="AB266" s="60"/>
      <c r="AC266" s="60"/>
      <c r="AD266" s="60"/>
      <c r="AE266" s="60"/>
      <c r="AF266" s="6"/>
      <c r="AG266" s="139"/>
      <c r="AH266" s="139"/>
      <c r="AI266" s="139"/>
      <c r="AJ266" s="139"/>
    </row>
    <row r="267" spans="1:36" s="209" customFormat="1" ht="11.25" customHeight="1">
      <c r="A267" s="588"/>
      <c r="B267" s="65"/>
      <c r="C267" s="65"/>
      <c r="P267" s="60"/>
      <c r="Q267" s="65"/>
      <c r="R267" s="65"/>
      <c r="S267" s="60"/>
      <c r="T267" s="60"/>
      <c r="U267" s="60"/>
      <c r="V267" s="60"/>
      <c r="W267" s="65"/>
      <c r="X267" s="60"/>
      <c r="Y267" s="60"/>
      <c r="Z267" s="319"/>
      <c r="AA267" s="60"/>
      <c r="AB267" s="60"/>
      <c r="AC267" s="60"/>
      <c r="AD267" s="60"/>
      <c r="AE267" s="60"/>
      <c r="AF267" s="6"/>
      <c r="AG267" s="139"/>
      <c r="AH267" s="139"/>
      <c r="AI267" s="139"/>
      <c r="AJ267" s="139"/>
    </row>
    <row r="268" spans="1:36" s="209" customFormat="1" ht="11.25" customHeight="1">
      <c r="A268" s="588"/>
      <c r="B268" s="65"/>
      <c r="C268" s="65"/>
      <c r="P268" s="60"/>
      <c r="Q268" s="65"/>
      <c r="R268" s="65"/>
      <c r="S268" s="60"/>
      <c r="T268" s="60"/>
      <c r="U268" s="60"/>
      <c r="V268" s="60"/>
      <c r="W268" s="65"/>
      <c r="X268" s="60"/>
      <c r="Y268" s="60"/>
      <c r="Z268" s="319"/>
      <c r="AA268" s="60"/>
      <c r="AB268" s="60"/>
      <c r="AC268" s="60"/>
      <c r="AD268" s="60"/>
      <c r="AE268" s="60"/>
      <c r="AF268" s="6"/>
      <c r="AG268" s="139"/>
      <c r="AH268" s="139"/>
      <c r="AI268" s="139"/>
      <c r="AJ268" s="139"/>
    </row>
    <row r="269" spans="1:36" s="209" customFormat="1" ht="11.25" customHeight="1">
      <c r="A269" s="588"/>
      <c r="B269" s="65"/>
      <c r="C269" s="65"/>
      <c r="P269" s="60"/>
      <c r="Q269" s="65"/>
      <c r="R269" s="65"/>
      <c r="S269" s="60"/>
      <c r="T269" s="60"/>
      <c r="U269" s="60"/>
      <c r="V269" s="60"/>
      <c r="W269" s="65"/>
      <c r="X269" s="60"/>
      <c r="Y269" s="60"/>
      <c r="Z269" s="319"/>
      <c r="AA269" s="60"/>
      <c r="AB269" s="60"/>
      <c r="AC269" s="60"/>
      <c r="AD269" s="60"/>
      <c r="AE269" s="60"/>
      <c r="AF269" s="6"/>
      <c r="AG269" s="139"/>
      <c r="AH269" s="139"/>
      <c r="AI269" s="139"/>
      <c r="AJ269" s="139"/>
    </row>
    <row r="270" spans="1:36" s="209" customFormat="1" ht="11.25" customHeight="1">
      <c r="A270" s="588"/>
      <c r="B270" s="65"/>
      <c r="C270" s="65"/>
      <c r="P270" s="60"/>
      <c r="Q270" s="65"/>
      <c r="R270" s="65"/>
      <c r="S270" s="60"/>
      <c r="T270" s="60"/>
      <c r="U270" s="60"/>
      <c r="V270" s="60"/>
      <c r="W270" s="65"/>
      <c r="X270" s="60"/>
      <c r="Y270" s="60"/>
      <c r="Z270" s="319"/>
      <c r="AA270" s="60"/>
      <c r="AB270" s="60"/>
      <c r="AC270" s="60"/>
      <c r="AD270" s="60"/>
      <c r="AE270" s="60"/>
      <c r="AF270" s="6"/>
      <c r="AG270" s="139"/>
      <c r="AH270" s="139"/>
      <c r="AI270" s="139"/>
      <c r="AJ270" s="139"/>
    </row>
    <row r="271" spans="1:36" s="209" customFormat="1" ht="11.25" customHeight="1">
      <c r="A271" s="588"/>
      <c r="B271" s="65"/>
      <c r="C271" s="65"/>
      <c r="P271" s="60"/>
      <c r="Q271" s="65"/>
      <c r="R271" s="65"/>
      <c r="S271" s="60"/>
      <c r="T271" s="60"/>
      <c r="U271" s="60"/>
      <c r="V271" s="60"/>
      <c r="W271" s="65"/>
      <c r="X271" s="60"/>
      <c r="Y271" s="60"/>
      <c r="Z271" s="319"/>
      <c r="AA271" s="60"/>
      <c r="AB271" s="60"/>
      <c r="AC271" s="60"/>
      <c r="AD271" s="60"/>
      <c r="AE271" s="60"/>
      <c r="AF271" s="6"/>
      <c r="AG271" s="139"/>
      <c r="AH271" s="139"/>
      <c r="AI271" s="139"/>
      <c r="AJ271" s="139"/>
    </row>
    <row r="272" spans="1:36" s="209" customFormat="1" ht="11.25" customHeight="1">
      <c r="A272" s="588"/>
      <c r="B272" s="65"/>
      <c r="C272" s="65"/>
      <c r="P272" s="60"/>
      <c r="Q272" s="65"/>
      <c r="R272" s="65"/>
      <c r="S272" s="60"/>
      <c r="T272" s="60"/>
      <c r="U272" s="60"/>
      <c r="V272" s="60"/>
      <c r="W272" s="65"/>
      <c r="X272" s="60"/>
      <c r="Y272" s="60"/>
      <c r="Z272" s="319"/>
      <c r="AA272" s="60"/>
      <c r="AB272" s="60"/>
      <c r="AC272" s="60"/>
      <c r="AD272" s="60"/>
      <c r="AE272" s="60"/>
      <c r="AF272" s="6"/>
      <c r="AG272" s="139"/>
      <c r="AH272" s="139"/>
      <c r="AI272" s="139"/>
      <c r="AJ272" s="139"/>
    </row>
    <row r="273" spans="1:36" s="209" customFormat="1" ht="11.25" customHeight="1">
      <c r="A273" s="588"/>
      <c r="B273" s="65"/>
      <c r="C273" s="65"/>
      <c r="P273" s="60"/>
      <c r="Q273" s="65"/>
      <c r="R273" s="65"/>
      <c r="S273" s="60"/>
      <c r="T273" s="60"/>
      <c r="U273" s="60"/>
      <c r="V273" s="60"/>
      <c r="W273" s="65"/>
      <c r="X273" s="60"/>
      <c r="Y273" s="60"/>
      <c r="Z273" s="319"/>
      <c r="AA273" s="60"/>
      <c r="AB273" s="60"/>
      <c r="AC273" s="60"/>
      <c r="AD273" s="60"/>
      <c r="AE273" s="60"/>
      <c r="AF273" s="6"/>
      <c r="AG273" s="139"/>
      <c r="AH273" s="139"/>
      <c r="AI273" s="139"/>
      <c r="AJ273" s="139"/>
    </row>
    <row r="274" spans="1:36" s="209" customFormat="1" ht="11.25" customHeight="1">
      <c r="A274" s="588"/>
      <c r="B274" s="65"/>
      <c r="C274" s="65"/>
      <c r="P274" s="60"/>
      <c r="Q274" s="65"/>
      <c r="R274" s="65"/>
      <c r="S274" s="60"/>
      <c r="T274" s="60"/>
      <c r="U274" s="60"/>
      <c r="V274" s="60"/>
      <c r="W274" s="65"/>
      <c r="X274" s="60"/>
      <c r="Y274" s="60"/>
      <c r="Z274" s="319"/>
      <c r="AA274" s="60"/>
      <c r="AB274" s="60"/>
      <c r="AC274" s="60"/>
      <c r="AD274" s="60"/>
      <c r="AE274" s="60"/>
      <c r="AF274" s="6"/>
      <c r="AG274" s="139"/>
      <c r="AH274" s="139"/>
      <c r="AI274" s="139"/>
      <c r="AJ274" s="139"/>
    </row>
    <row r="275" spans="1:36" s="209" customFormat="1" ht="11.25" customHeight="1">
      <c r="A275" s="588"/>
      <c r="B275" s="65"/>
      <c r="C275" s="65"/>
      <c r="P275" s="60"/>
      <c r="Q275" s="65"/>
      <c r="R275" s="65"/>
      <c r="S275" s="60"/>
      <c r="T275" s="60"/>
      <c r="U275" s="60"/>
      <c r="V275" s="60"/>
      <c r="W275" s="65"/>
      <c r="X275" s="60"/>
      <c r="Y275" s="60"/>
      <c r="Z275" s="319"/>
      <c r="AA275" s="60"/>
      <c r="AB275" s="60"/>
      <c r="AC275" s="60"/>
      <c r="AD275" s="60"/>
      <c r="AE275" s="60"/>
      <c r="AF275" s="6"/>
      <c r="AG275" s="139"/>
      <c r="AH275" s="139"/>
      <c r="AI275" s="139"/>
      <c r="AJ275" s="139"/>
    </row>
    <row r="276" spans="1:36" s="209" customFormat="1" ht="11.25" customHeight="1">
      <c r="A276" s="588"/>
      <c r="B276" s="65"/>
      <c r="C276" s="65"/>
      <c r="P276" s="60"/>
      <c r="Q276" s="65"/>
      <c r="R276" s="65"/>
      <c r="S276" s="60"/>
      <c r="T276" s="60"/>
      <c r="U276" s="60"/>
      <c r="V276" s="60"/>
      <c r="W276" s="65"/>
      <c r="X276" s="60"/>
      <c r="Y276" s="60"/>
      <c r="Z276" s="319"/>
      <c r="AA276" s="60"/>
      <c r="AB276" s="60"/>
      <c r="AC276" s="60"/>
      <c r="AD276" s="60"/>
      <c r="AE276" s="60"/>
      <c r="AF276" s="6"/>
      <c r="AG276" s="139"/>
      <c r="AH276" s="139"/>
      <c r="AI276" s="139"/>
      <c r="AJ276" s="139"/>
    </row>
    <row r="277" spans="1:36" s="209" customFormat="1" ht="11.25" customHeight="1">
      <c r="A277" s="588"/>
      <c r="B277" s="65"/>
      <c r="C277" s="65"/>
      <c r="P277" s="60"/>
      <c r="Q277" s="65"/>
      <c r="R277" s="65"/>
      <c r="S277" s="60"/>
      <c r="T277" s="60"/>
      <c r="U277" s="60"/>
      <c r="V277" s="60"/>
      <c r="W277" s="65"/>
      <c r="X277" s="60"/>
      <c r="Y277" s="60"/>
      <c r="Z277" s="319"/>
      <c r="AA277" s="60"/>
      <c r="AB277" s="60"/>
      <c r="AC277" s="60"/>
      <c r="AD277" s="60"/>
      <c r="AE277" s="60"/>
      <c r="AF277" s="6"/>
      <c r="AG277" s="139"/>
      <c r="AH277" s="139"/>
      <c r="AI277" s="139"/>
      <c r="AJ277" s="139"/>
    </row>
    <row r="278" spans="1:36" s="209" customFormat="1" ht="11.25" customHeight="1">
      <c r="A278" s="588"/>
      <c r="B278" s="65"/>
      <c r="C278" s="65"/>
      <c r="P278" s="60"/>
      <c r="Q278" s="65"/>
      <c r="R278" s="65"/>
      <c r="S278" s="60"/>
      <c r="T278" s="60"/>
      <c r="U278" s="60"/>
      <c r="V278" s="60"/>
      <c r="W278" s="65"/>
      <c r="X278" s="60"/>
      <c r="Y278" s="60"/>
      <c r="Z278" s="319"/>
      <c r="AA278" s="60"/>
      <c r="AB278" s="60"/>
      <c r="AC278" s="60"/>
      <c r="AD278" s="60"/>
      <c r="AE278" s="60"/>
      <c r="AF278" s="6"/>
      <c r="AG278" s="139"/>
      <c r="AH278" s="139"/>
      <c r="AI278" s="139"/>
      <c r="AJ278" s="139"/>
    </row>
    <row r="279" spans="1:36" s="209" customFormat="1" ht="11.25" customHeight="1">
      <c r="A279" s="588"/>
      <c r="B279" s="65"/>
      <c r="C279" s="65"/>
      <c r="P279" s="60"/>
      <c r="Q279" s="65"/>
      <c r="R279" s="65"/>
      <c r="S279" s="60"/>
      <c r="T279" s="60"/>
      <c r="U279" s="60"/>
      <c r="V279" s="60"/>
      <c r="W279" s="65"/>
      <c r="X279" s="60"/>
      <c r="Y279" s="60"/>
      <c r="Z279" s="319"/>
      <c r="AA279" s="60"/>
      <c r="AB279" s="60"/>
      <c r="AC279" s="60"/>
      <c r="AD279" s="60"/>
      <c r="AE279" s="60"/>
      <c r="AF279" s="6"/>
      <c r="AG279" s="139"/>
      <c r="AH279" s="139"/>
      <c r="AI279" s="139"/>
      <c r="AJ279" s="139"/>
    </row>
    <row r="280" spans="1:36" s="209" customFormat="1" ht="11.25" customHeight="1">
      <c r="A280" s="588"/>
      <c r="B280" s="65"/>
      <c r="C280" s="65"/>
      <c r="P280" s="60"/>
      <c r="Q280" s="65"/>
      <c r="R280" s="65"/>
      <c r="S280" s="60"/>
      <c r="T280" s="60"/>
      <c r="U280" s="60"/>
      <c r="V280" s="60"/>
      <c r="W280" s="65"/>
      <c r="X280" s="60"/>
      <c r="Y280" s="60"/>
      <c r="Z280" s="319"/>
      <c r="AA280" s="60"/>
      <c r="AB280" s="60"/>
      <c r="AC280" s="60"/>
      <c r="AD280" s="60"/>
      <c r="AE280" s="60"/>
      <c r="AF280" s="6"/>
      <c r="AG280" s="139"/>
      <c r="AH280" s="139"/>
      <c r="AI280" s="139"/>
      <c r="AJ280" s="139"/>
    </row>
    <row r="281" spans="1:36" s="209" customFormat="1" ht="11.25" customHeight="1">
      <c r="A281" s="588"/>
      <c r="B281" s="65"/>
      <c r="C281" s="65"/>
      <c r="P281" s="60"/>
      <c r="Q281" s="65"/>
      <c r="R281" s="65"/>
      <c r="S281" s="60"/>
      <c r="T281" s="60"/>
      <c r="U281" s="60"/>
      <c r="V281" s="60"/>
      <c r="W281" s="65"/>
      <c r="X281" s="60"/>
      <c r="Y281" s="60"/>
      <c r="Z281" s="319"/>
      <c r="AA281" s="60"/>
      <c r="AB281" s="60"/>
      <c r="AC281" s="60"/>
      <c r="AD281" s="60"/>
      <c r="AE281" s="60"/>
      <c r="AF281" s="6"/>
      <c r="AG281" s="139"/>
      <c r="AH281" s="139"/>
      <c r="AI281" s="139"/>
      <c r="AJ281" s="139"/>
    </row>
    <row r="282" spans="1:36" s="209" customFormat="1" ht="11.25" customHeight="1">
      <c r="A282" s="588"/>
      <c r="B282" s="65"/>
      <c r="C282" s="65"/>
      <c r="P282" s="60"/>
      <c r="Q282" s="65"/>
      <c r="R282" s="65"/>
      <c r="S282" s="60"/>
      <c r="T282" s="60"/>
      <c r="U282" s="60"/>
      <c r="V282" s="60"/>
      <c r="W282" s="65"/>
      <c r="X282" s="60"/>
      <c r="Y282" s="60"/>
      <c r="Z282" s="319"/>
      <c r="AA282" s="60"/>
      <c r="AB282" s="60"/>
      <c r="AC282" s="60"/>
      <c r="AD282" s="60"/>
      <c r="AE282" s="60"/>
      <c r="AF282" s="6"/>
      <c r="AG282" s="139"/>
      <c r="AH282" s="139"/>
      <c r="AI282" s="139"/>
      <c r="AJ282" s="139"/>
    </row>
    <row r="283" spans="1:36" s="209" customFormat="1" ht="11.25" customHeight="1">
      <c r="A283" s="588"/>
      <c r="B283" s="65"/>
      <c r="C283" s="65"/>
      <c r="P283" s="60"/>
      <c r="Q283" s="65"/>
      <c r="R283" s="65"/>
      <c r="S283" s="60"/>
      <c r="T283" s="60"/>
      <c r="U283" s="60"/>
      <c r="V283" s="60"/>
      <c r="W283" s="65"/>
      <c r="X283" s="60"/>
      <c r="Y283" s="60"/>
      <c r="Z283" s="319"/>
      <c r="AA283" s="60"/>
      <c r="AB283" s="60"/>
      <c r="AC283" s="60"/>
      <c r="AD283" s="60"/>
      <c r="AE283" s="60"/>
      <c r="AF283" s="6"/>
      <c r="AG283" s="139"/>
      <c r="AH283" s="139"/>
      <c r="AI283" s="139"/>
      <c r="AJ283" s="139"/>
    </row>
    <row r="284" spans="1:36" s="209" customFormat="1" ht="11.25" customHeight="1">
      <c r="A284" s="588"/>
      <c r="B284" s="65"/>
      <c r="C284" s="65"/>
      <c r="P284" s="60"/>
      <c r="Q284" s="65"/>
      <c r="R284" s="65"/>
      <c r="S284" s="60"/>
      <c r="T284" s="60"/>
      <c r="U284" s="60"/>
      <c r="V284" s="60"/>
      <c r="W284" s="65"/>
      <c r="X284" s="60"/>
      <c r="Y284" s="60"/>
      <c r="Z284" s="319"/>
      <c r="AA284" s="60"/>
      <c r="AB284" s="60"/>
      <c r="AC284" s="60"/>
      <c r="AD284" s="60"/>
      <c r="AE284" s="60"/>
      <c r="AF284" s="6"/>
      <c r="AG284" s="139"/>
      <c r="AH284" s="139"/>
      <c r="AI284" s="139"/>
      <c r="AJ284" s="139"/>
    </row>
    <row r="285" spans="1:36" s="209" customFormat="1" ht="11.25" customHeight="1">
      <c r="A285" s="588"/>
      <c r="B285" s="65"/>
      <c r="C285" s="65"/>
      <c r="P285" s="60"/>
      <c r="Q285" s="65"/>
      <c r="R285" s="65"/>
      <c r="S285" s="60"/>
      <c r="T285" s="60"/>
      <c r="U285" s="60"/>
      <c r="V285" s="60"/>
      <c r="W285" s="65"/>
      <c r="X285" s="60"/>
      <c r="Y285" s="60"/>
      <c r="Z285" s="319"/>
      <c r="AA285" s="60"/>
      <c r="AB285" s="60"/>
      <c r="AC285" s="60"/>
      <c r="AD285" s="60"/>
      <c r="AE285" s="60"/>
      <c r="AF285" s="6"/>
      <c r="AG285" s="139"/>
      <c r="AH285" s="139"/>
      <c r="AI285" s="139"/>
      <c r="AJ285" s="139"/>
    </row>
    <row r="286" spans="1:36" s="209" customFormat="1" ht="11.25" customHeight="1">
      <c r="A286" s="588"/>
      <c r="B286" s="65"/>
      <c r="C286" s="65"/>
      <c r="P286" s="60"/>
      <c r="Q286" s="65"/>
      <c r="R286" s="65"/>
      <c r="S286" s="60"/>
      <c r="T286" s="60"/>
      <c r="U286" s="60"/>
      <c r="V286" s="60"/>
      <c r="W286" s="65"/>
      <c r="X286" s="60"/>
      <c r="Y286" s="60"/>
      <c r="Z286" s="319"/>
      <c r="AA286" s="60"/>
      <c r="AB286" s="60"/>
      <c r="AC286" s="60"/>
      <c r="AD286" s="60"/>
      <c r="AE286" s="60"/>
      <c r="AF286" s="6"/>
      <c r="AG286" s="139"/>
      <c r="AH286" s="139"/>
      <c r="AI286" s="139"/>
      <c r="AJ286" s="139"/>
    </row>
    <row r="287" spans="1:36" s="209" customFormat="1" ht="11.25" customHeight="1">
      <c r="A287" s="588"/>
      <c r="B287" s="65"/>
      <c r="C287" s="65"/>
      <c r="P287" s="60"/>
      <c r="Q287" s="65"/>
      <c r="R287" s="65"/>
      <c r="S287" s="60"/>
      <c r="T287" s="60"/>
      <c r="U287" s="60"/>
      <c r="V287" s="60"/>
      <c r="W287" s="65"/>
      <c r="X287" s="60"/>
      <c r="Y287" s="60"/>
      <c r="Z287" s="319"/>
      <c r="AA287" s="60"/>
      <c r="AB287" s="60"/>
      <c r="AC287" s="60"/>
      <c r="AD287" s="60"/>
      <c r="AE287" s="60"/>
      <c r="AF287" s="6"/>
      <c r="AG287" s="139"/>
      <c r="AH287" s="139"/>
      <c r="AI287" s="139"/>
      <c r="AJ287" s="139"/>
    </row>
    <row r="288" spans="1:36" s="209" customFormat="1" ht="11.25" customHeight="1">
      <c r="A288" s="588"/>
      <c r="B288" s="65"/>
      <c r="C288" s="65"/>
      <c r="P288" s="60"/>
      <c r="Q288" s="65"/>
      <c r="R288" s="65"/>
      <c r="S288" s="60"/>
      <c r="T288" s="60"/>
      <c r="U288" s="60"/>
      <c r="V288" s="60"/>
      <c r="W288" s="65"/>
      <c r="X288" s="60"/>
      <c r="Y288" s="60"/>
      <c r="Z288" s="319"/>
      <c r="AA288" s="60"/>
      <c r="AB288" s="60"/>
      <c r="AC288" s="60"/>
      <c r="AD288" s="60"/>
      <c r="AE288" s="60"/>
      <c r="AF288" s="6"/>
      <c r="AG288" s="139"/>
      <c r="AH288" s="139"/>
      <c r="AI288" s="139"/>
      <c r="AJ288" s="139"/>
    </row>
    <row r="292" spans="1:36" ht="11.25" customHeight="1">
      <c r="A292" s="591"/>
      <c r="B292" s="9"/>
      <c r="P292" s="9"/>
      <c r="S292" s="9"/>
      <c r="T292" s="9"/>
      <c r="U292" s="9"/>
      <c r="V292" s="9"/>
      <c r="X292" s="9"/>
      <c r="Y292" s="9"/>
      <c r="Z292" s="9"/>
      <c r="AA292" s="9"/>
      <c r="AB292" s="9"/>
      <c r="AC292" s="9"/>
      <c r="AD292" s="9"/>
      <c r="AE292" s="9"/>
      <c r="AF292" s="9"/>
      <c r="AG292" s="9"/>
      <c r="AH292" s="9"/>
      <c r="AI292" s="9"/>
      <c r="AJ292" s="9"/>
    </row>
    <row r="293" spans="1:36" ht="11.25" customHeight="1">
      <c r="A293" s="591"/>
      <c r="B293" s="9"/>
      <c r="P293" s="9"/>
      <c r="S293" s="9"/>
      <c r="T293" s="9"/>
      <c r="U293" s="9"/>
      <c r="V293" s="9"/>
      <c r="X293" s="9"/>
      <c r="Y293" s="9"/>
      <c r="Z293" s="9"/>
      <c r="AA293" s="9"/>
      <c r="AB293" s="9"/>
      <c r="AC293" s="9"/>
      <c r="AD293" s="9"/>
      <c r="AE293" s="9"/>
      <c r="AF293" s="9"/>
      <c r="AG293" s="9"/>
      <c r="AH293" s="9"/>
      <c r="AI293" s="9"/>
      <c r="AJ293" s="9"/>
    </row>
    <row r="294" spans="1:36" ht="11.25" customHeight="1">
      <c r="A294" s="591"/>
      <c r="B294" s="9"/>
      <c r="P294" s="9"/>
      <c r="S294" s="9"/>
      <c r="T294" s="9"/>
      <c r="U294" s="9"/>
      <c r="V294" s="9"/>
      <c r="X294" s="9"/>
      <c r="Y294" s="9"/>
      <c r="Z294" s="9"/>
      <c r="AA294" s="9"/>
      <c r="AB294" s="9"/>
      <c r="AC294" s="9"/>
      <c r="AD294" s="9"/>
      <c r="AE294" s="9"/>
      <c r="AF294" s="9"/>
      <c r="AG294" s="9"/>
      <c r="AH294" s="9"/>
      <c r="AI294" s="9"/>
      <c r="AJ294" s="9"/>
    </row>
    <row r="295" spans="1:36" ht="11.25" customHeight="1">
      <c r="A295" s="591"/>
      <c r="B295" s="9"/>
      <c r="P295" s="9"/>
      <c r="S295" s="9"/>
      <c r="T295" s="9"/>
      <c r="U295" s="9"/>
      <c r="V295" s="9"/>
      <c r="X295" s="9"/>
      <c r="Y295" s="9"/>
      <c r="Z295" s="9"/>
      <c r="AA295" s="9"/>
      <c r="AB295" s="9"/>
      <c r="AC295" s="9"/>
      <c r="AD295" s="9"/>
      <c r="AE295" s="9"/>
      <c r="AF295" s="9"/>
      <c r="AG295" s="9"/>
      <c r="AH295" s="9"/>
      <c r="AI295" s="9"/>
      <c r="AJ295" s="9"/>
    </row>
    <row r="296" spans="1:36" ht="11.25" customHeight="1">
      <c r="A296" s="591"/>
      <c r="B296" s="9"/>
      <c r="P296" s="9"/>
      <c r="S296" s="9"/>
      <c r="T296" s="9"/>
      <c r="U296" s="9"/>
      <c r="V296" s="9"/>
      <c r="X296" s="9"/>
      <c r="Y296" s="9"/>
      <c r="Z296" s="9"/>
      <c r="AA296" s="9"/>
      <c r="AB296" s="9"/>
      <c r="AC296" s="9"/>
      <c r="AD296" s="9"/>
      <c r="AE296" s="9"/>
      <c r="AF296" s="9"/>
      <c r="AG296" s="9"/>
      <c r="AH296" s="9"/>
      <c r="AI296" s="9"/>
      <c r="AJ296" s="9"/>
    </row>
    <row r="297" spans="1:36" ht="11.25" customHeight="1">
      <c r="A297" s="591"/>
      <c r="B297" s="9"/>
      <c r="P297" s="9"/>
      <c r="S297" s="9"/>
      <c r="T297" s="9"/>
      <c r="U297" s="9"/>
      <c r="V297" s="9"/>
      <c r="X297" s="9"/>
      <c r="Y297" s="9"/>
      <c r="Z297" s="9"/>
      <c r="AA297" s="9"/>
      <c r="AB297" s="9"/>
      <c r="AC297" s="9"/>
      <c r="AD297" s="9"/>
      <c r="AE297" s="9"/>
      <c r="AF297" s="9"/>
      <c r="AG297" s="9"/>
      <c r="AH297" s="9"/>
      <c r="AI297" s="9"/>
      <c r="AJ297" s="9"/>
    </row>
    <row r="298" spans="1:36" ht="11.25" customHeight="1">
      <c r="A298" s="591"/>
      <c r="B298" s="9"/>
      <c r="P298" s="9"/>
      <c r="S298" s="9"/>
      <c r="T298" s="9"/>
      <c r="U298" s="9"/>
      <c r="V298" s="9"/>
      <c r="X298" s="9"/>
      <c r="Y298" s="9"/>
      <c r="Z298" s="9"/>
      <c r="AA298" s="9"/>
      <c r="AB298" s="9"/>
      <c r="AC298" s="9"/>
      <c r="AD298" s="9"/>
      <c r="AE298" s="9"/>
      <c r="AF298" s="9"/>
      <c r="AG298" s="9"/>
      <c r="AH298" s="9"/>
      <c r="AI298" s="9"/>
      <c r="AJ298" s="9"/>
    </row>
    <row r="299" spans="1:36" ht="11.25" customHeight="1">
      <c r="A299" s="591"/>
      <c r="B299" s="9"/>
      <c r="P299" s="9"/>
      <c r="S299" s="9"/>
      <c r="T299" s="9"/>
      <c r="U299" s="9"/>
      <c r="V299" s="9"/>
      <c r="X299" s="9"/>
      <c r="Y299" s="9"/>
      <c r="Z299" s="9"/>
      <c r="AA299" s="9"/>
      <c r="AB299" s="9"/>
      <c r="AC299" s="9"/>
      <c r="AD299" s="9"/>
      <c r="AE299" s="9"/>
      <c r="AF299" s="9"/>
      <c r="AG299" s="9"/>
      <c r="AH299" s="9"/>
      <c r="AI299" s="9"/>
      <c r="AJ299" s="9"/>
    </row>
    <row r="300" spans="1:36" ht="11.25" customHeight="1">
      <c r="A300" s="591"/>
      <c r="B300" s="9"/>
      <c r="P300" s="9"/>
      <c r="S300" s="9"/>
      <c r="T300" s="9"/>
      <c r="U300" s="9"/>
      <c r="V300" s="9"/>
      <c r="X300" s="9"/>
      <c r="Y300" s="9"/>
      <c r="Z300" s="9"/>
      <c r="AA300" s="9"/>
      <c r="AB300" s="9"/>
      <c r="AC300" s="9"/>
      <c r="AD300" s="9"/>
      <c r="AE300" s="9"/>
      <c r="AF300" s="9"/>
      <c r="AG300" s="9"/>
      <c r="AH300" s="9"/>
      <c r="AI300" s="9"/>
      <c r="AJ300" s="9"/>
    </row>
    <row r="301" spans="1:36" ht="11.25" customHeight="1">
      <c r="A301" s="591"/>
      <c r="B301" s="9"/>
      <c r="P301" s="9"/>
      <c r="S301" s="9"/>
      <c r="T301" s="9"/>
      <c r="U301" s="9"/>
      <c r="V301" s="9"/>
      <c r="X301" s="9"/>
      <c r="Y301" s="9"/>
      <c r="Z301" s="9"/>
      <c r="AA301" s="9"/>
      <c r="AB301" s="9"/>
      <c r="AC301" s="9"/>
      <c r="AD301" s="9"/>
      <c r="AE301" s="9"/>
      <c r="AF301" s="9"/>
      <c r="AG301" s="9"/>
      <c r="AH301" s="9"/>
      <c r="AI301" s="9"/>
      <c r="AJ301" s="9"/>
    </row>
    <row r="302" spans="1:36" ht="11.25" customHeight="1">
      <c r="A302" s="591"/>
      <c r="B302" s="9"/>
      <c r="P302" s="9"/>
      <c r="S302" s="9"/>
      <c r="T302" s="9"/>
      <c r="U302" s="9"/>
      <c r="V302" s="9"/>
      <c r="X302" s="9"/>
      <c r="Y302" s="9"/>
      <c r="Z302" s="9"/>
      <c r="AA302" s="9"/>
      <c r="AB302" s="9"/>
      <c r="AC302" s="9"/>
      <c r="AD302" s="9"/>
      <c r="AE302" s="9"/>
      <c r="AF302" s="9"/>
      <c r="AG302" s="9"/>
      <c r="AH302" s="9"/>
      <c r="AI302" s="9"/>
      <c r="AJ302" s="9"/>
    </row>
  </sheetData>
  <sheetProtection formatColumns="0" formatRows="0" insertRows="0" deleteColumns="0" deleteRows="0" sort="0" autoFilter="0"/>
  <mergeCells count="17">
    <mergeCell ref="B2:B7"/>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N68 H66:N66 O66 O68" xr:uid="{00000000-0002-0000-2700-000000000000}"/>
    <dataValidation type="decimal" allowBlank="1" showErrorMessage="1" errorTitle="Ошибка" error="Введите значение от 0 до 100%" sqref="H90:N90 H95:N95 O90 O95" xr:uid="{00000000-0002-0000-2700-000001000000}">
      <formula1>0</formula1>
      <formula2>100</formula2>
    </dataValidation>
    <dataValidation type="decimal" allowBlank="1" showErrorMessage="1" errorTitle="Ошибка" error="Допускается ввод только действительных чисел!" sqref="H123:N123 H120:N120 H126:N126 H75:N80 O75 O76 O77 O78 O79 O80 O120 O123 O126" xr:uid="{00000000-0002-0000-2700-000002000000}">
      <formula1>-9.99999999999999E+37</formula1>
      <formula2>9.99999999999999E+37</formula2>
    </dataValidation>
    <dataValidation type="decimal" allowBlank="1" showErrorMessage="1" errorTitle="Ошибка" error="Допускается ввод только действительных чисел!" sqref="H72:N73 O72 O73" xr:uid="{00000000-0002-0000-27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N81 H128:N130 O81 O128 O129 O130" xr:uid="{00000000-0002-0000-27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7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700-000006000000}">
      <formula1>kind_of_fuels</formula1>
    </dataValidation>
    <dataValidation type="decimal" allowBlank="1" showErrorMessage="1" errorTitle="Ошибка" error="Допускается ввод только неотрицательных чисел!" sqref="H67:N67 H69:N69 H91:N94 H127:N127 H30:N30 H32:N33 H35:N38 H40:N65 H82:N86 H17:N17 H9:N13 H15:N15 H96:N119 H74:N74 H88:N89 H4:N6 O4 O5 O6 O9 O10 O11 O12 O13 O15 O17 O30 O32 O33 O35 O36 O37 O38 O40 O41 O42 O43 O44 O45 O46 O47 O48 O49 O50 O51 O52 O53 O54 O55 O56 O57 O58 O59 O60 O61 O62 O63 O64 O65 O67 O69 O74 O82 O83 O84 O85 O86 O88 O89 O91 O92 O93 O94 O96 O97 O98 O99 O100 O101 O102 O103 O104 O105 O106 O107 O108 O109 O110 O111 O112 O113 O114 O115 O116 O117 O118 O119 O127" xr:uid="{00000000-0002-0000-27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N34 H39:N39 O34 O39" xr:uid="{00000000-0002-0000-27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N70 O70" xr:uid="{00000000-0002-0000-2700-000009000000}">
      <formula1>900</formula1>
    </dataValidation>
    <dataValidation type="list" allowBlank="1" showInputMessage="1" showErrorMessage="1" errorTitle="Ошибка" error="Выберите значение из списка" prompt="Выберите значение из списка" sqref="H7:N7 O7" xr:uid="{00000000-0002-0000-27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88DAA-6C27-6AB2-7145-C0A849F4B281}">
  <sheetPr>
    <tabColor theme="9" tint="-0.249977111117893"/>
  </sheetPr>
  <dimension ref="A1:CE72"/>
  <sheetViews>
    <sheetView showGridLines="0" topLeftCell="C4" zoomScale="90" workbookViewId="0">
      <selection activeCell="A59" sqref="A59:XFD67"/>
    </sheetView>
  </sheetViews>
  <sheetFormatPr defaultColWidth="9.140625" defaultRowHeight="11.25" customHeight="1"/>
  <cols>
    <col min="1" max="1" width="14.7109375" style="364" hidden="1" customWidth="1"/>
    <col min="2" max="2" width="17" style="6" hidden="1" customWidth="1"/>
    <col min="3" max="3" width="3.7109375" style="9" customWidth="1"/>
    <col min="4" max="4" width="1.85546875" style="9" hidden="1" customWidth="1"/>
    <col min="5" max="6" width="7.7109375" style="9" customWidth="1"/>
    <col min="7" max="7" width="29.7109375" style="9" customWidth="1"/>
    <col min="8" max="8" width="3.7109375" style="9" customWidth="1"/>
    <col min="9" max="9" width="5.42578125" style="9" customWidth="1"/>
    <col min="10" max="10" width="24.5703125" style="9" customWidth="1"/>
    <col min="11" max="11" width="24.42578125" style="9" customWidth="1"/>
    <col min="12" max="12" width="3.7109375" style="9" customWidth="1"/>
    <col min="13" max="13" width="6.28515625" style="9" customWidth="1"/>
    <col min="14" max="14" width="25.85546875" style="9" customWidth="1"/>
    <col min="15" max="18" width="18.7109375" style="9" customWidth="1"/>
    <col min="19" max="19" width="93.42578125" style="9" customWidth="1"/>
    <col min="20" max="20" width="10.5703125" style="9" customWidth="1"/>
    <col min="21" max="21" width="10.5703125" style="65" customWidth="1"/>
    <col min="22" max="22" width="11.7109375" style="65" customWidth="1"/>
    <col min="23" max="27" width="10.5703125" style="6" customWidth="1"/>
    <col min="28" max="83" width="9.140625" style="9"/>
  </cols>
  <sheetData>
    <row r="1" spans="1:83" ht="11.25" hidden="1" customHeight="1"/>
    <row r="2" spans="1:83" ht="11.25" hidden="1" customHeight="1"/>
    <row r="3" spans="1:83" ht="11.25" hidden="1" customHeight="1"/>
    <row r="4" spans="1:83" ht="3" customHeight="1">
      <c r="K4" s="75"/>
      <c r="L4" s="75"/>
      <c r="M4" s="75"/>
    </row>
    <row r="5" spans="1:83" ht="33.75" customHeight="1">
      <c r="D5" s="237"/>
      <c r="E5" s="1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312"/>
      <c r="G5" s="1312"/>
      <c r="H5" s="1312"/>
      <c r="I5" s="1312"/>
      <c r="J5" s="1312"/>
      <c r="K5" s="1312"/>
      <c r="L5" s="56"/>
      <c r="M5" s="56"/>
    </row>
    <row r="6" spans="1:83" s="9" customFormat="1" ht="16.5" customHeight="1">
      <c r="A6" s="364"/>
      <c r="B6" s="6"/>
      <c r="D6" s="636"/>
      <c r="E6" s="1178" t="str">
        <f>IF(org=0,"Не определено",org)</f>
        <v>ООО "Концессионная Коммунальная Компания"</v>
      </c>
      <c r="F6" s="1178"/>
      <c r="G6" s="1178"/>
      <c r="H6" s="1178"/>
      <c r="I6" s="1178"/>
      <c r="J6" s="1178"/>
      <c r="K6" s="1178"/>
      <c r="L6" s="56"/>
      <c r="M6" s="56"/>
      <c r="U6" s="65"/>
      <c r="V6" s="65"/>
      <c r="W6" s="6"/>
      <c r="X6" s="6"/>
      <c r="Y6" s="6"/>
      <c r="Z6" s="6"/>
      <c r="AA6" s="6"/>
    </row>
    <row r="7" spans="1:83" ht="11.25" customHeight="1">
      <c r="G7" s="56"/>
      <c r="H7" s="56"/>
      <c r="I7" s="56"/>
      <c r="J7" s="56"/>
      <c r="K7" s="365"/>
      <c r="L7" s="365"/>
      <c r="M7" s="365"/>
      <c r="R7" s="442"/>
    </row>
    <row r="8" spans="1:83" s="209" customFormat="1" ht="5.25" customHeight="1">
      <c r="A8" s="367"/>
      <c r="B8" s="139"/>
      <c r="G8" s="576"/>
      <c r="H8" s="576"/>
      <c r="I8" s="576"/>
      <c r="J8" s="576"/>
      <c r="K8" s="611"/>
      <c r="L8" s="611"/>
      <c r="M8" s="611"/>
      <c r="R8" s="612"/>
      <c r="U8" s="65"/>
      <c r="V8" s="65"/>
      <c r="W8" s="139"/>
      <c r="X8" s="139"/>
      <c r="Y8" s="139"/>
      <c r="Z8" s="139"/>
      <c r="AA8" s="139"/>
    </row>
    <row r="9" spans="1:83" ht="18.75" customHeight="1">
      <c r="D9" s="64"/>
      <c r="E9" s="1063" t="s">
        <v>302</v>
      </c>
      <c r="F9" s="1068"/>
      <c r="G9" s="1068"/>
      <c r="H9" s="1068"/>
      <c r="I9" s="1068"/>
      <c r="J9" s="1068"/>
      <c r="K9" s="1068"/>
      <c r="L9" s="1068"/>
      <c r="M9" s="1068"/>
      <c r="N9" s="1068"/>
      <c r="O9" s="1068"/>
      <c r="P9" s="1068"/>
      <c r="Q9" s="1068"/>
      <c r="R9" s="1062"/>
      <c r="S9" s="1082" t="s">
        <v>303</v>
      </c>
      <c r="T9" s="202"/>
    </row>
    <row r="10" spans="1:83" ht="33.75" customHeight="1">
      <c r="D10" s="326" t="s">
        <v>88</v>
      </c>
      <c r="E10" s="1082" t="s">
        <v>88</v>
      </c>
      <c r="F10" s="1082"/>
      <c r="G10" s="39" t="s">
        <v>304</v>
      </c>
      <c r="H10" s="1082" t="s">
        <v>88</v>
      </c>
      <c r="I10" s="1082"/>
      <c r="J10" s="39" t="s">
        <v>1758</v>
      </c>
      <c r="K10" s="39" t="s">
        <v>1759</v>
      </c>
      <c r="L10" s="1082" t="s">
        <v>88</v>
      </c>
      <c r="M10" s="1082"/>
      <c r="N10" s="39" t="s">
        <v>1760</v>
      </c>
      <c r="O10" s="39" t="s">
        <v>1761</v>
      </c>
      <c r="P10" s="39" t="s">
        <v>1762</v>
      </c>
      <c r="Q10" s="39" t="s">
        <v>1763</v>
      </c>
      <c r="R10" s="39" t="s">
        <v>1764</v>
      </c>
      <c r="S10" s="1082"/>
      <c r="T10" s="202"/>
    </row>
    <row r="11" spans="1:83" s="65" customFormat="1" ht="15" hidden="1" customHeight="1">
      <c r="A11" s="323"/>
      <c r="D11" s="323" t="s">
        <v>119</v>
      </c>
      <c r="E11" s="323"/>
      <c r="F11" s="323" t="s">
        <v>103</v>
      </c>
      <c r="G11" s="323" t="s">
        <v>90</v>
      </c>
      <c r="H11" s="323"/>
      <c r="I11" s="323" t="s">
        <v>91</v>
      </c>
      <c r="J11" s="323" t="s">
        <v>120</v>
      </c>
      <c r="K11" s="323" t="s">
        <v>92</v>
      </c>
      <c r="L11" s="323"/>
      <c r="M11" s="323" t="s">
        <v>93</v>
      </c>
      <c r="N11" s="323" t="s">
        <v>121</v>
      </c>
      <c r="O11" s="323" t="s">
        <v>164</v>
      </c>
      <c r="P11" s="323" t="s">
        <v>165</v>
      </c>
      <c r="Q11" s="323" t="s">
        <v>166</v>
      </c>
      <c r="R11" s="323" t="s">
        <v>167</v>
      </c>
      <c r="S11" s="323" t="s">
        <v>168</v>
      </c>
    </row>
    <row r="12" spans="1:83" s="9" customFormat="1" ht="0.75" customHeight="1">
      <c r="A12" s="364"/>
      <c r="B12" s="6"/>
      <c r="D12" s="323"/>
      <c r="E12" s="53"/>
      <c r="F12" s="53"/>
      <c r="Q12" s="76"/>
      <c r="R12" s="366"/>
      <c r="T12" s="202"/>
      <c r="U12" s="65"/>
      <c r="V12" s="65"/>
      <c r="W12" s="6"/>
      <c r="X12" s="6"/>
      <c r="Y12" s="6"/>
      <c r="Z12" s="6"/>
      <c r="AA12" s="6"/>
    </row>
    <row r="13" spans="1:83" s="209" customFormat="1" ht="0.75" customHeight="1">
      <c r="A13" s="367"/>
      <c r="B13" s="139"/>
      <c r="D13" s="323" t="s">
        <v>380</v>
      </c>
      <c r="E13" s="334"/>
      <c r="F13" s="334"/>
      <c r="G13" s="334"/>
      <c r="H13" s="334"/>
      <c r="I13" s="334"/>
      <c r="J13" s="334"/>
      <c r="K13" s="334"/>
      <c r="L13" s="334"/>
      <c r="M13" s="334"/>
      <c r="N13" s="334"/>
      <c r="O13" s="334"/>
      <c r="P13" s="334"/>
      <c r="Q13" s="334"/>
      <c r="R13" s="334"/>
      <c r="T13" s="202"/>
      <c r="U13" s="65"/>
      <c r="V13" s="65"/>
      <c r="W13" s="139"/>
      <c r="X13" s="139"/>
      <c r="Y13" s="139"/>
      <c r="Z13" s="139"/>
      <c r="AA13" s="139"/>
    </row>
    <row r="14" spans="1:83" ht="15" hidden="1" customHeight="1">
      <c r="A14" s="31" t="s">
        <v>126</v>
      </c>
      <c r="B14"/>
      <c r="C14"/>
      <c r="D14" s="1405" t="s">
        <v>119</v>
      </c>
      <c r="E14" s="1222" t="s">
        <v>115</v>
      </c>
      <c r="F14" s="1223"/>
      <c r="G14" s="1224"/>
      <c r="H14" s="1225" t="str">
        <f>IF(A14="","",INDEX(DIFFERENTIATION_UNMERGE_VD,MATCH(A14,DIFFERENTIATION_ID_DIFF,0)))</f>
        <v>Холодное водоснабжение. Питьевая вода</v>
      </c>
      <c r="I14" s="1225"/>
      <c r="J14" s="1225"/>
      <c r="K14" s="1225"/>
      <c r="L14" s="1225"/>
      <c r="M14" s="1225"/>
      <c r="N14" s="1225"/>
      <c r="O14" s="1225"/>
      <c r="P14" s="1225"/>
      <c r="Q14" s="1225"/>
      <c r="R14" s="1225"/>
      <c r="S14" s="423"/>
      <c r="T14" s="421"/>
      <c r="U14" s="101"/>
      <c r="V14" s="101"/>
      <c r="W14" s="59"/>
      <c r="X14" s="59"/>
      <c r="Y14" s="59"/>
      <c r="Z14" s="59"/>
      <c r="AA14" s="101"/>
      <c r="AB14" s="59"/>
      <c r="AC14" s="1234"/>
      <c r="AD14" s="59"/>
      <c r="AE14" s="368" t="s">
        <v>18</v>
      </c>
      <c r="AF14" s="368"/>
      <c r="AG14" s="369" t="s">
        <v>426</v>
      </c>
      <c r="AH14" s="370">
        <v>3</v>
      </c>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59"/>
      <c r="BW14" s="59"/>
      <c r="BX14" s="59"/>
      <c r="BY14" s="59"/>
      <c r="BZ14" s="59"/>
      <c r="CA14" s="59"/>
      <c r="CB14" s="59"/>
      <c r="CC14" s="59"/>
      <c r="CD14" s="59"/>
      <c r="CE14" s="59"/>
    </row>
    <row r="15" spans="1:83" ht="15" hidden="1" customHeight="1">
      <c r="A15" s="31"/>
      <c r="B15"/>
      <c r="C15"/>
      <c r="D15" s="1406"/>
      <c r="E15" s="1222" t="s">
        <v>427</v>
      </c>
      <c r="F15" s="1223"/>
      <c r="G15" s="1224"/>
      <c r="H15" s="1225" t="str">
        <f>IF(A14="","",INDEX(DIFFERENTIATION_UNMERGE_AREA,MATCH(A14,DIFFERENTIATION_ID_DIFF,0)))</f>
        <v>Территория 1</v>
      </c>
      <c r="I15" s="1225"/>
      <c r="J15" s="1225"/>
      <c r="K15" s="1225"/>
      <c r="L15" s="1225"/>
      <c r="M15" s="1225"/>
      <c r="N15" s="1225"/>
      <c r="O15" s="1225"/>
      <c r="P15" s="1225"/>
      <c r="Q15" s="1225"/>
      <c r="R15" s="1225"/>
      <c r="S15" s="423"/>
      <c r="T15" s="421"/>
      <c r="U15" s="101"/>
      <c r="V15" s="101"/>
      <c r="W15" s="59"/>
      <c r="X15" s="59"/>
      <c r="Y15" s="59"/>
      <c r="Z15" s="59"/>
      <c r="AA15" s="101"/>
      <c r="AB15" s="59"/>
      <c r="AC15" s="1234"/>
      <c r="AD15" s="59"/>
      <c r="AE15" s="368"/>
      <c r="AF15" s="368"/>
      <c r="AG15" s="369"/>
      <c r="AH15" s="370"/>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59"/>
      <c r="BW15" s="59"/>
      <c r="BX15" s="59"/>
      <c r="BY15" s="59"/>
      <c r="BZ15" s="59"/>
      <c r="CA15" s="59"/>
      <c r="CB15" s="59"/>
      <c r="CC15" s="59"/>
      <c r="CD15" s="59"/>
      <c r="CE15" s="59"/>
    </row>
    <row r="16" spans="1:83" ht="15" hidden="1" customHeight="1">
      <c r="A16" s="31"/>
      <c r="B16"/>
      <c r="C16"/>
      <c r="D16" s="1406"/>
      <c r="E16" s="1222" t="s">
        <v>428</v>
      </c>
      <c r="F16" s="1223"/>
      <c r="G16" s="1224"/>
      <c r="H16" s="1225" t="str">
        <f>IF(A14="","",INDEX(DIFFERENTIATION_UNMERGE_SYSTEM,MATCH(A14,DIFFERENTIATION_ID_DIFF,0)))</f>
        <v>без дифференциации</v>
      </c>
      <c r="I16" s="1225"/>
      <c r="J16" s="1225"/>
      <c r="K16" s="1225"/>
      <c r="L16" s="1225"/>
      <c r="M16" s="1225"/>
      <c r="N16" s="1225"/>
      <c r="O16" s="1225"/>
      <c r="P16" s="1225"/>
      <c r="Q16" s="1225"/>
      <c r="R16" s="1225"/>
      <c r="S16" s="423"/>
      <c r="T16" s="421"/>
      <c r="U16" s="101"/>
      <c r="V16" s="101"/>
      <c r="W16" s="59"/>
      <c r="X16" s="59"/>
      <c r="Y16" s="59"/>
      <c r="Z16" s="59"/>
      <c r="AA16" s="101"/>
      <c r="AB16" s="59"/>
      <c r="AC16" s="1234"/>
      <c r="AD16" s="59"/>
      <c r="AE16" s="368"/>
      <c r="AF16" s="368"/>
      <c r="AG16" s="369"/>
      <c r="AH16" s="370"/>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59"/>
      <c r="BW16" s="59"/>
      <c r="BX16" s="59"/>
      <c r="BY16" s="59"/>
      <c r="BZ16" s="59"/>
      <c r="CA16" s="59"/>
      <c r="CB16" s="59"/>
      <c r="CC16" s="59"/>
      <c r="CD16" s="59"/>
      <c r="CE16" s="59"/>
    </row>
    <row r="17" spans="1:83" ht="22.5" hidden="1" customHeight="1">
      <c r="A17" s="312"/>
      <c r="B17" s="60"/>
      <c r="C17" s="247"/>
      <c r="D17" s="1406"/>
      <c r="E17" s="1240" t="s">
        <v>429</v>
      </c>
      <c r="F17" s="1240"/>
      <c r="G17" s="1240"/>
      <c r="H17" s="1240"/>
      <c r="I17" s="1240"/>
      <c r="J17" s="1240"/>
      <c r="K17" s="1240"/>
      <c r="L17" s="1240"/>
      <c r="M17" s="1240"/>
      <c r="N17" s="1240"/>
      <c r="O17" s="1240"/>
      <c r="P17" s="1240"/>
      <c r="Q17" s="332">
        <f>SUMIF(T18:T19,"i",Q18:Q19)</f>
        <v>0</v>
      </c>
      <c r="R17" s="610"/>
      <c r="S17" s="150" t="s">
        <v>430</v>
      </c>
      <c r="T17" s="421" t="s">
        <v>431</v>
      </c>
      <c r="U17" s="1211">
        <v>1</v>
      </c>
      <c r="V17" s="1211" t="str">
        <f>INDEX(B_FHD_FLAG_INDEX_1,1,MATCH(A14,B_FHD_FLAG_DIFFERENTIATION,0))</f>
        <v>отсутствует</v>
      </c>
      <c r="W17" s="60"/>
      <c r="X17" s="60"/>
      <c r="Y17" s="60"/>
      <c r="Z17" s="60"/>
      <c r="AA17" s="65"/>
      <c r="AB17" s="60"/>
      <c r="AC17" s="1234"/>
      <c r="AD17" s="59"/>
      <c r="AE17" s="60"/>
      <c r="AF17" s="60"/>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0"/>
      <c r="BW17" s="60"/>
      <c r="BX17" s="60"/>
      <c r="BY17" s="60"/>
      <c r="BZ17" s="60"/>
      <c r="CA17" s="60"/>
      <c r="CB17" s="60"/>
      <c r="CC17" s="60"/>
      <c r="CD17" s="60"/>
      <c r="CE17" s="60"/>
    </row>
    <row r="18" spans="1:83" ht="11.25" hidden="1" customHeight="1">
      <c r="A18" s="119"/>
      <c r="B18" s="65"/>
      <c r="C18" s="65"/>
      <c r="D18" s="1406"/>
      <c r="E18" s="371"/>
      <c r="F18" s="371">
        <v>0</v>
      </c>
      <c r="G18" s="371"/>
      <c r="H18" s="371"/>
      <c r="I18" s="371"/>
      <c r="J18" s="371"/>
      <c r="K18" s="371"/>
      <c r="L18" s="371"/>
      <c r="M18" s="371"/>
      <c r="N18" s="371"/>
      <c r="O18" s="371"/>
      <c r="P18" s="371"/>
      <c r="Q18" s="371"/>
      <c r="R18" s="371"/>
      <c r="S18" s="327"/>
      <c r="T18" s="422"/>
      <c r="U18" s="1211"/>
      <c r="V18" s="1211"/>
      <c r="W18" s="65"/>
      <c r="X18" s="65"/>
      <c r="Y18" s="65"/>
      <c r="Z18" s="65"/>
      <c r="AA18" s="65"/>
      <c r="AB18" s="60"/>
      <c r="AC18" s="1234"/>
      <c r="AD18" s="59"/>
      <c r="AE18" s="60"/>
      <c r="AF18" s="60"/>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row>
    <row r="19" spans="1:83" ht="11.25" hidden="1" customHeight="1">
      <c r="A19" s="312"/>
      <c r="B19" s="60"/>
      <c r="C19" s="247"/>
      <c r="D19" s="1406"/>
      <c r="E19" s="186" t="s">
        <v>18</v>
      </c>
      <c r="F19" s="107" t="s">
        <v>18</v>
      </c>
      <c r="G19" s="107" t="s">
        <v>18</v>
      </c>
      <c r="H19" s="50" t="s">
        <v>18</v>
      </c>
      <c r="I19" s="50"/>
      <c r="J19" s="50"/>
      <c r="K19" s="50"/>
      <c r="L19" s="50"/>
      <c r="M19" s="50"/>
      <c r="N19" s="50"/>
      <c r="O19" s="50"/>
      <c r="P19" s="50"/>
      <c r="Q19" s="50"/>
      <c r="R19" s="361"/>
      <c r="S19" s="613"/>
      <c r="T19" s="422"/>
      <c r="U19" s="1211"/>
      <c r="V19" s="1211"/>
      <c r="W19" s="60"/>
      <c r="X19" s="60"/>
      <c r="Y19" s="60"/>
      <c r="Z19" s="60"/>
      <c r="AA19" s="65"/>
      <c r="AB19" s="60"/>
      <c r="AC19" s="1234"/>
      <c r="AD19" s="59"/>
      <c r="AE19" s="60"/>
      <c r="AF19" s="60"/>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0"/>
      <c r="BW19" s="60"/>
      <c r="BX19" s="60"/>
      <c r="BY19" s="60"/>
      <c r="BZ19" s="60"/>
      <c r="CA19" s="60"/>
      <c r="CB19" s="60"/>
      <c r="CC19" s="60"/>
      <c r="CD19" s="60"/>
      <c r="CE19" s="60"/>
    </row>
    <row r="20" spans="1:83" ht="22.5" hidden="1" customHeight="1">
      <c r="A20" s="312"/>
      <c r="B20" s="60"/>
      <c r="C20" s="247"/>
      <c r="D20" s="1406"/>
      <c r="E20" s="1240" t="s">
        <v>434</v>
      </c>
      <c r="F20" s="1240"/>
      <c r="G20" s="1240"/>
      <c r="H20" s="1240"/>
      <c r="I20" s="1240"/>
      <c r="J20" s="1240"/>
      <c r="K20" s="1240"/>
      <c r="L20" s="1240"/>
      <c r="M20" s="1240"/>
      <c r="N20" s="1240"/>
      <c r="O20" s="1240"/>
      <c r="P20" s="1240"/>
      <c r="Q20" s="332">
        <f>SUMIF(T21:T22,"i",Q21:Q22)</f>
        <v>0</v>
      </c>
      <c r="R20" s="610"/>
      <c r="S20" s="150" t="s">
        <v>435</v>
      </c>
      <c r="T20" s="421" t="s">
        <v>431</v>
      </c>
      <c r="U20" s="1211">
        <v>2</v>
      </c>
      <c r="V20" s="1211" t="str">
        <f>INDEX(B_FHD_FLAG_INDEX_2,1,MATCH(A14,B_FHD_FLAG_DIFFERENTIATION,0))</f>
        <v>отсутствует</v>
      </c>
      <c r="W20" s="60"/>
      <c r="X20" s="60"/>
      <c r="Y20" s="60"/>
      <c r="Z20" s="60"/>
      <c r="AA20" s="65"/>
      <c r="AB20" s="60"/>
      <c r="AC20" s="414"/>
      <c r="AD20" s="59"/>
      <c r="AE20" s="60"/>
      <c r="AF20" s="60"/>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0"/>
      <c r="BW20" s="60"/>
      <c r="BX20" s="60"/>
      <c r="BY20" s="60"/>
      <c r="BZ20" s="60"/>
      <c r="CA20" s="60"/>
      <c r="CB20" s="60"/>
      <c r="CC20" s="60"/>
      <c r="CD20" s="60"/>
      <c r="CE20" s="60"/>
    </row>
    <row r="21" spans="1:83" ht="11.25" hidden="1" customHeight="1">
      <c r="A21" s="119"/>
      <c r="B21" s="65"/>
      <c r="C21" s="65"/>
      <c r="D21" s="1406"/>
      <c r="E21" s="371"/>
      <c r="F21" s="371">
        <v>0</v>
      </c>
      <c r="G21" s="371"/>
      <c r="H21" s="371"/>
      <c r="I21" s="371"/>
      <c r="J21" s="371"/>
      <c r="K21" s="371"/>
      <c r="L21" s="371"/>
      <c r="M21" s="371"/>
      <c r="N21" s="371"/>
      <c r="O21" s="371"/>
      <c r="P21" s="371"/>
      <c r="Q21" s="371"/>
      <c r="R21" s="371"/>
      <c r="S21" s="327"/>
      <c r="T21" s="422"/>
      <c r="U21" s="1211"/>
      <c r="V21" s="1211"/>
      <c r="W21" s="65"/>
      <c r="X21" s="65"/>
      <c r="Y21" s="65"/>
      <c r="Z21" s="65"/>
      <c r="AA21" s="65"/>
      <c r="AB21" s="60"/>
      <c r="AC21" s="414"/>
      <c r="AD21" s="59"/>
      <c r="AE21" s="60"/>
      <c r="AF21" s="60"/>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row>
    <row r="22" spans="1:83" ht="11.25" hidden="1" customHeight="1">
      <c r="A22" s="312"/>
      <c r="B22" s="60"/>
      <c r="C22" s="247"/>
      <c r="D22" s="1407"/>
      <c r="E22" s="186" t="s">
        <v>18</v>
      </c>
      <c r="F22" s="107" t="s">
        <v>18</v>
      </c>
      <c r="G22" s="107" t="s">
        <v>18</v>
      </c>
      <c r="H22" s="50" t="s">
        <v>18</v>
      </c>
      <c r="I22" s="50"/>
      <c r="J22" s="50"/>
      <c r="K22" s="50"/>
      <c r="L22" s="50"/>
      <c r="M22" s="50"/>
      <c r="N22" s="50"/>
      <c r="O22" s="50"/>
      <c r="P22" s="50"/>
      <c r="Q22" s="50"/>
      <c r="R22" s="361"/>
      <c r="S22" s="613"/>
      <c r="T22" s="422"/>
      <c r="U22" s="1211"/>
      <c r="V22" s="1211"/>
      <c r="W22" s="60"/>
      <c r="X22" s="60"/>
      <c r="Y22" s="60"/>
      <c r="Z22" s="60"/>
      <c r="AA22" s="65"/>
      <c r="AB22" s="60"/>
      <c r="AC22" s="414"/>
      <c r="AD22" s="59"/>
      <c r="AE22" s="60"/>
      <c r="AF22" s="60"/>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0"/>
      <c r="BW22" s="60"/>
      <c r="BX22" s="60"/>
      <c r="BY22" s="60"/>
      <c r="BZ22" s="60"/>
      <c r="CA22" s="60"/>
      <c r="CB22" s="60"/>
      <c r="CC22" s="60"/>
      <c r="CD22" s="60"/>
      <c r="CE22" s="60"/>
    </row>
    <row r="23" spans="1:83" ht="15" hidden="1" customHeight="1">
      <c r="A23" s="31" t="s">
        <v>133</v>
      </c>
      <c r="B23"/>
      <c r="C23" t="s">
        <v>18</v>
      </c>
      <c r="D23" s="1219" t="s">
        <v>166</v>
      </c>
      <c r="E23" s="1222" t="s">
        <v>115</v>
      </c>
      <c r="F23" s="1223"/>
      <c r="G23" s="1224"/>
      <c r="H23" s="1225" t="str">
        <f>IF(A23="","",INDEX(DIFFERENTIATION_UNMERGE_VD,MATCH(A23,DIFFERENTIATION_ID_DIFF,0)))</f>
        <v>Холодное водоснабжение. Техническая вода</v>
      </c>
      <c r="I23" s="1225"/>
      <c r="J23" s="1225"/>
      <c r="K23" s="1225"/>
      <c r="L23" s="1225"/>
      <c r="M23" s="1225"/>
      <c r="N23" s="1225"/>
      <c r="O23" s="1225"/>
      <c r="P23" s="1225"/>
      <c r="Q23" s="1225"/>
      <c r="R23" s="1225"/>
      <c r="S23" s="423"/>
      <c r="T23" s="421"/>
      <c r="U23" s="101"/>
      <c r="V23" s="101"/>
      <c r="W23" s="59"/>
      <c r="X23" s="59"/>
      <c r="Y23" s="59"/>
      <c r="Z23" s="59"/>
      <c r="AA23" s="101"/>
      <c r="AB23" s="59"/>
      <c r="AC23" s="1234"/>
      <c r="AD23" s="59"/>
      <c r="AE23" s="368" t="s">
        <v>18</v>
      </c>
      <c r="AF23" s="368"/>
      <c r="AG23" s="369" t="s">
        <v>426</v>
      </c>
      <c r="AH23" s="370">
        <v>3</v>
      </c>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59"/>
      <c r="BW23" s="59"/>
      <c r="BX23" s="59"/>
      <c r="BY23" s="59"/>
      <c r="BZ23" s="59"/>
      <c r="CA23" s="59"/>
      <c r="CB23" s="59"/>
      <c r="CC23" s="59"/>
      <c r="CD23" s="59"/>
      <c r="CE23" s="59"/>
    </row>
    <row r="24" spans="1:83" ht="15" hidden="1" customHeight="1">
      <c r="A24" s="31"/>
      <c r="B24"/>
      <c r="C24"/>
      <c r="D24" s="1220"/>
      <c r="E24" s="1222" t="s">
        <v>427</v>
      </c>
      <c r="F24" s="1223"/>
      <c r="G24" s="1224"/>
      <c r="H24" s="1225" t="str">
        <f>IF(A23="","",INDEX(DIFFERENTIATION_UNMERGE_AREA,MATCH(A23,DIFFERENTIATION_ID_DIFF,0)))</f>
        <v>Территория 1</v>
      </c>
      <c r="I24" s="1225"/>
      <c r="J24" s="1225"/>
      <c r="K24" s="1225"/>
      <c r="L24" s="1225"/>
      <c r="M24" s="1225"/>
      <c r="N24" s="1225"/>
      <c r="O24" s="1225"/>
      <c r="P24" s="1225"/>
      <c r="Q24" s="1225"/>
      <c r="R24" s="1225"/>
      <c r="S24" s="423"/>
      <c r="T24" s="421"/>
      <c r="U24" s="101"/>
      <c r="V24" s="101"/>
      <c r="W24" s="59"/>
      <c r="X24" s="59"/>
      <c r="Y24" s="59"/>
      <c r="Z24" s="59"/>
      <c r="AA24" s="101"/>
      <c r="AB24" s="59"/>
      <c r="AC24" s="1234"/>
      <c r="AD24" s="59"/>
      <c r="AE24" s="368"/>
      <c r="AF24" s="368"/>
      <c r="AG24" s="369"/>
      <c r="AH24" s="370"/>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59"/>
      <c r="BW24" s="59"/>
      <c r="BX24" s="59"/>
      <c r="BY24" s="59"/>
      <c r="BZ24" s="59"/>
      <c r="CA24" s="59"/>
      <c r="CB24" s="59"/>
      <c r="CC24" s="59"/>
      <c r="CD24" s="59"/>
      <c r="CE24" s="59"/>
    </row>
    <row r="25" spans="1:83" ht="15" hidden="1" customHeight="1">
      <c r="A25" s="31"/>
      <c r="B25"/>
      <c r="C25"/>
      <c r="D25" s="1220"/>
      <c r="E25" s="1222" t="s">
        <v>428</v>
      </c>
      <c r="F25" s="1223"/>
      <c r="G25" s="1224"/>
      <c r="H25" s="1225" t="str">
        <f>IF(A23="","",INDEX(DIFFERENTIATION_UNMERGE_SYSTEM,MATCH(A23,DIFFERENTIATION_ID_DIFF,0)))</f>
        <v>без дифференциации</v>
      </c>
      <c r="I25" s="1225"/>
      <c r="J25" s="1225"/>
      <c r="K25" s="1225"/>
      <c r="L25" s="1225"/>
      <c r="M25" s="1225"/>
      <c r="N25" s="1225"/>
      <c r="O25" s="1225"/>
      <c r="P25" s="1225"/>
      <c r="Q25" s="1225"/>
      <c r="R25" s="1225"/>
      <c r="S25" s="423"/>
      <c r="T25" s="421"/>
      <c r="U25" s="101"/>
      <c r="V25" s="101"/>
      <c r="W25" s="59"/>
      <c r="X25" s="59"/>
      <c r="Y25" s="59"/>
      <c r="Z25" s="59"/>
      <c r="AA25" s="101"/>
      <c r="AB25" s="59"/>
      <c r="AC25" s="1234"/>
      <c r="AD25" s="59"/>
      <c r="AE25" s="368"/>
      <c r="AF25" s="368"/>
      <c r="AG25" s="369"/>
      <c r="AH25" s="370"/>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59"/>
      <c r="BW25" s="59"/>
      <c r="BX25" s="59"/>
      <c r="BY25" s="59"/>
      <c r="BZ25" s="59"/>
      <c r="CA25" s="59"/>
      <c r="CB25" s="59"/>
      <c r="CC25" s="59"/>
      <c r="CD25" s="59"/>
      <c r="CE25" s="59"/>
    </row>
    <row r="26" spans="1:83" ht="24.75" hidden="1" customHeight="1">
      <c r="A26" s="312"/>
      <c r="B26" s="60"/>
      <c r="C26" s="247"/>
      <c r="D26" s="1220"/>
      <c r="E26" s="1240" t="s">
        <v>429</v>
      </c>
      <c r="F26" s="1240"/>
      <c r="G26" s="1240"/>
      <c r="H26" s="1240"/>
      <c r="I26" s="1240"/>
      <c r="J26" s="1240"/>
      <c r="K26" s="1240"/>
      <c r="L26" s="1240"/>
      <c r="M26" s="1240"/>
      <c r="N26" s="1240"/>
      <c r="O26" s="1240"/>
      <c r="P26" s="1240"/>
      <c r="Q26" s="332">
        <f>SUMIF(T27:T28,"i",Q27:Q28)</f>
        <v>0</v>
      </c>
      <c r="R26" s="610"/>
      <c r="S26" s="150" t="s">
        <v>430</v>
      </c>
      <c r="T26" s="421" t="s">
        <v>431</v>
      </c>
      <c r="U26" s="1211">
        <v>1</v>
      </c>
      <c r="V26" s="1211" t="s">
        <v>432</v>
      </c>
      <c r="W26" s="60"/>
      <c r="X26" s="60"/>
      <c r="Y26" s="60"/>
      <c r="Z26" s="60"/>
      <c r="AA26" s="65"/>
      <c r="AB26" s="60"/>
      <c r="AC26" s="1234"/>
      <c r="AD26" s="59"/>
      <c r="AE26" s="60"/>
      <c r="AF26" s="60"/>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0"/>
      <c r="BW26" s="60"/>
      <c r="BX26" s="60"/>
      <c r="BY26" s="60"/>
      <c r="BZ26" s="60"/>
      <c r="CA26" s="60"/>
      <c r="CB26" s="60"/>
      <c r="CC26" s="60"/>
      <c r="CD26" s="60"/>
      <c r="CE26" s="60"/>
    </row>
    <row r="27" spans="1:83" ht="11.25" hidden="1" customHeight="1">
      <c r="A27" s="119"/>
      <c r="B27" s="65"/>
      <c r="C27" s="65"/>
      <c r="D27" s="1220"/>
      <c r="E27" s="371"/>
      <c r="F27" s="371">
        <v>0</v>
      </c>
      <c r="G27" s="371"/>
      <c r="H27" s="371"/>
      <c r="I27" s="371"/>
      <c r="J27" s="371"/>
      <c r="K27" s="371"/>
      <c r="L27" s="371"/>
      <c r="M27" s="371"/>
      <c r="N27" s="371"/>
      <c r="O27" s="371"/>
      <c r="P27" s="371"/>
      <c r="Q27" s="371"/>
      <c r="R27" s="371"/>
      <c r="S27" s="327"/>
      <c r="T27" s="422"/>
      <c r="U27" s="1211"/>
      <c r="V27" s="1211"/>
      <c r="W27" s="65"/>
      <c r="X27" s="65"/>
      <c r="Y27" s="65"/>
      <c r="Z27" s="65"/>
      <c r="AA27" s="65"/>
      <c r="AB27" s="60"/>
      <c r="AC27" s="1234"/>
      <c r="AD27" s="59"/>
      <c r="AE27" s="60"/>
      <c r="AF27" s="60"/>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row>
    <row r="28" spans="1:83" ht="11.25" hidden="1" customHeight="1">
      <c r="A28" s="312"/>
      <c r="B28" s="60"/>
      <c r="C28" s="247"/>
      <c r="D28" s="1220"/>
      <c r="E28" s="186" t="s">
        <v>18</v>
      </c>
      <c r="F28" s="107" t="s">
        <v>18</v>
      </c>
      <c r="G28" s="107" t="s">
        <v>433</v>
      </c>
      <c r="H28" s="50" t="s">
        <v>18</v>
      </c>
      <c r="I28" s="50"/>
      <c r="J28" s="50"/>
      <c r="K28" s="50"/>
      <c r="L28" s="50"/>
      <c r="M28" s="50"/>
      <c r="N28" s="50"/>
      <c r="O28" s="50"/>
      <c r="P28" s="50"/>
      <c r="Q28" s="50"/>
      <c r="R28" s="361"/>
      <c r="S28" s="379"/>
      <c r="T28" s="422"/>
      <c r="U28" s="1211"/>
      <c r="V28" s="1211"/>
      <c r="W28" s="60"/>
      <c r="X28" s="60"/>
      <c r="Y28" s="60"/>
      <c r="Z28" s="60"/>
      <c r="AA28" s="65"/>
      <c r="AB28" s="60"/>
      <c r="AC28" s="1234"/>
      <c r="AD28" s="59"/>
      <c r="AE28" s="60"/>
      <c r="AF28" s="60"/>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0"/>
      <c r="BW28" s="60"/>
      <c r="BX28" s="60"/>
      <c r="BY28" s="60"/>
      <c r="BZ28" s="60"/>
      <c r="CA28" s="60"/>
      <c r="CB28" s="60"/>
      <c r="CC28" s="60"/>
      <c r="CD28" s="60"/>
      <c r="CE28" s="60"/>
    </row>
    <row r="29" spans="1:83" ht="24.75" hidden="1" customHeight="1">
      <c r="A29" s="312"/>
      <c r="B29" s="60"/>
      <c r="C29" s="247"/>
      <c r="D29" s="1220"/>
      <c r="E29" s="1240" t="s">
        <v>434</v>
      </c>
      <c r="F29" s="1240"/>
      <c r="G29" s="1240"/>
      <c r="H29" s="1240"/>
      <c r="I29" s="1240"/>
      <c r="J29" s="1240"/>
      <c r="K29" s="1240"/>
      <c r="L29" s="1240"/>
      <c r="M29" s="1240"/>
      <c r="N29" s="1240"/>
      <c r="O29" s="1240"/>
      <c r="P29" s="1240"/>
      <c r="Q29" s="332">
        <f>SUMIF(T30:T31,"i",Q30:Q31)</f>
        <v>0</v>
      </c>
      <c r="R29" s="610"/>
      <c r="S29" s="150" t="s">
        <v>435</v>
      </c>
      <c r="T29" s="421" t="s">
        <v>431</v>
      </c>
      <c r="U29" s="1211">
        <v>1</v>
      </c>
      <c r="V29" s="1211" t="s">
        <v>432</v>
      </c>
      <c r="W29" s="60"/>
      <c r="X29" s="60"/>
      <c r="Y29" s="60"/>
      <c r="Z29" s="60"/>
      <c r="AA29" s="65"/>
      <c r="AB29" s="60"/>
      <c r="AC29" s="414"/>
      <c r="AD29" s="59"/>
      <c r="AE29" s="60"/>
      <c r="AF29" s="60"/>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0"/>
      <c r="BW29" s="60"/>
      <c r="BX29" s="60"/>
      <c r="BY29" s="60"/>
      <c r="BZ29" s="60"/>
      <c r="CA29" s="60"/>
      <c r="CB29" s="60"/>
      <c r="CC29" s="60"/>
      <c r="CD29" s="60"/>
      <c r="CE29" s="60"/>
    </row>
    <row r="30" spans="1:83" ht="11.25" hidden="1" customHeight="1">
      <c r="A30" s="119"/>
      <c r="B30" s="65"/>
      <c r="C30" s="65"/>
      <c r="D30" s="1220"/>
      <c r="E30" s="371"/>
      <c r="F30" s="371">
        <v>0</v>
      </c>
      <c r="G30" s="371"/>
      <c r="H30" s="371"/>
      <c r="I30" s="371"/>
      <c r="J30" s="371"/>
      <c r="K30" s="371"/>
      <c r="L30" s="371"/>
      <c r="M30" s="371"/>
      <c r="N30" s="371"/>
      <c r="O30" s="371"/>
      <c r="P30" s="371"/>
      <c r="Q30" s="371"/>
      <c r="R30" s="371"/>
      <c r="S30" s="327"/>
      <c r="T30" s="422"/>
      <c r="U30" s="1211"/>
      <c r="V30" s="1211"/>
      <c r="W30" s="65"/>
      <c r="X30" s="65"/>
      <c r="Y30" s="65"/>
      <c r="Z30" s="65"/>
      <c r="AA30" s="65"/>
      <c r="AB30" s="60"/>
      <c r="AC30" s="414"/>
      <c r="AD30" s="59"/>
      <c r="AE30" s="60"/>
      <c r="AF30" s="60"/>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row>
    <row r="31" spans="1:83" ht="11.25" hidden="1" customHeight="1">
      <c r="A31" s="312"/>
      <c r="B31" s="60"/>
      <c r="C31" s="247"/>
      <c r="D31" s="1221"/>
      <c r="E31" s="186" t="s">
        <v>18</v>
      </c>
      <c r="F31" s="107" t="s">
        <v>18</v>
      </c>
      <c r="G31" s="107" t="s">
        <v>433</v>
      </c>
      <c r="H31" s="50" t="s">
        <v>18</v>
      </c>
      <c r="I31" s="50"/>
      <c r="J31" s="50"/>
      <c r="K31" s="50"/>
      <c r="L31" s="50"/>
      <c r="M31" s="50"/>
      <c r="N31" s="50"/>
      <c r="O31" s="50"/>
      <c r="P31" s="50"/>
      <c r="Q31" s="50"/>
      <c r="R31" s="361"/>
      <c r="S31" s="379"/>
      <c r="T31" s="422"/>
      <c r="U31" s="1211"/>
      <c r="V31" s="1211"/>
      <c r="W31" s="60"/>
      <c r="X31" s="60"/>
      <c r="Y31" s="60"/>
      <c r="Z31" s="60"/>
      <c r="AA31" s="65"/>
      <c r="AB31" s="60"/>
      <c r="AC31" s="414"/>
      <c r="AD31" s="59"/>
      <c r="AE31" s="60"/>
      <c r="AF31" s="60"/>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0"/>
      <c r="BW31" s="60"/>
      <c r="BX31" s="60"/>
      <c r="BY31" s="60"/>
      <c r="BZ31" s="60"/>
      <c r="CA31" s="60"/>
      <c r="CB31" s="60"/>
      <c r="CC31" s="60"/>
      <c r="CD31" s="60"/>
      <c r="CE31" s="60"/>
    </row>
    <row r="32" spans="1:83" ht="15" hidden="1" customHeight="1">
      <c r="A32" s="31" t="s">
        <v>130</v>
      </c>
      <c r="B32"/>
      <c r="C32" t="s">
        <v>18</v>
      </c>
      <c r="D32" s="1219" t="s">
        <v>1765</v>
      </c>
      <c r="E32" s="1222" t="s">
        <v>115</v>
      </c>
      <c r="F32" s="1223"/>
      <c r="G32" s="1224"/>
      <c r="H32" s="1225" t="str">
        <f>IF(A32="","",INDEX(DIFFERENTIATION_UNMERGE_VD,MATCH(A32,DIFFERENTIATION_ID_DIFF,0)))</f>
        <v>Холодное водоснабжение. Питьевая вода</v>
      </c>
      <c r="I32" s="1225"/>
      <c r="J32" s="1225"/>
      <c r="K32" s="1225"/>
      <c r="L32" s="1225"/>
      <c r="M32" s="1225"/>
      <c r="N32" s="1225"/>
      <c r="O32" s="1225"/>
      <c r="P32" s="1225"/>
      <c r="Q32" s="1225"/>
      <c r="R32" s="1225"/>
      <c r="S32" s="423"/>
      <c r="T32" s="421"/>
      <c r="U32" s="101"/>
      <c r="V32" s="101"/>
      <c r="W32" s="59"/>
      <c r="X32" s="59"/>
      <c r="Y32" s="59"/>
      <c r="Z32" s="59"/>
      <c r="AA32" s="101"/>
      <c r="AB32" s="59"/>
      <c r="AC32" s="1234"/>
      <c r="AD32" s="59"/>
      <c r="AE32" s="368" t="s">
        <v>18</v>
      </c>
      <c r="AF32" s="368"/>
      <c r="AG32" s="369" t="s">
        <v>426</v>
      </c>
      <c r="AH32" s="370">
        <v>3</v>
      </c>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59"/>
      <c r="BW32" s="59"/>
      <c r="BX32" s="59"/>
      <c r="BY32" s="59"/>
      <c r="BZ32" s="59"/>
      <c r="CA32" s="59"/>
      <c r="CB32" s="59"/>
      <c r="CC32" s="59"/>
      <c r="CD32" s="59"/>
      <c r="CE32" s="59"/>
    </row>
    <row r="33" spans="1:83" ht="15" hidden="1" customHeight="1">
      <c r="A33" s="31"/>
      <c r="B33"/>
      <c r="C33"/>
      <c r="D33" s="1220"/>
      <c r="E33" s="1222" t="s">
        <v>427</v>
      </c>
      <c r="F33" s="1223"/>
      <c r="G33" s="1224"/>
      <c r="H33" s="1225" t="str">
        <f>IF(A32="","",INDEX(DIFFERENTIATION_UNMERGE_AREA,MATCH(A32,DIFFERENTIATION_ID_DIFF,0)))</f>
        <v>Территория 2</v>
      </c>
      <c r="I33" s="1225"/>
      <c r="J33" s="1225"/>
      <c r="K33" s="1225"/>
      <c r="L33" s="1225"/>
      <c r="M33" s="1225"/>
      <c r="N33" s="1225"/>
      <c r="O33" s="1225"/>
      <c r="P33" s="1225"/>
      <c r="Q33" s="1225"/>
      <c r="R33" s="1225"/>
      <c r="S33" s="423"/>
      <c r="T33" s="421"/>
      <c r="U33" s="101"/>
      <c r="V33" s="101"/>
      <c r="W33" s="59"/>
      <c r="X33" s="59"/>
      <c r="Y33" s="59"/>
      <c r="Z33" s="59"/>
      <c r="AA33" s="101"/>
      <c r="AB33" s="59"/>
      <c r="AC33" s="1234"/>
      <c r="AD33" s="59"/>
      <c r="AE33" s="368"/>
      <c r="AF33" s="368"/>
      <c r="AG33" s="369"/>
      <c r="AH33" s="370"/>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59"/>
      <c r="BW33" s="59"/>
      <c r="BX33" s="59"/>
      <c r="BY33" s="59"/>
      <c r="BZ33" s="59"/>
      <c r="CA33" s="59"/>
      <c r="CB33" s="59"/>
      <c r="CC33" s="59"/>
      <c r="CD33" s="59"/>
      <c r="CE33" s="59"/>
    </row>
    <row r="34" spans="1:83" ht="15" hidden="1" customHeight="1">
      <c r="A34" s="31"/>
      <c r="B34"/>
      <c r="C34"/>
      <c r="D34" s="1220"/>
      <c r="E34" s="1222" t="s">
        <v>428</v>
      </c>
      <c r="F34" s="1223"/>
      <c r="G34" s="1224"/>
      <c r="H34" s="1225" t="str">
        <f>IF(A32="","",INDEX(DIFFERENTIATION_UNMERGE_SYSTEM,MATCH(A32,DIFFERENTIATION_ID_DIFF,0)))</f>
        <v>без дифференциации</v>
      </c>
      <c r="I34" s="1225"/>
      <c r="J34" s="1225"/>
      <c r="K34" s="1225"/>
      <c r="L34" s="1225"/>
      <c r="M34" s="1225"/>
      <c r="N34" s="1225"/>
      <c r="O34" s="1225"/>
      <c r="P34" s="1225"/>
      <c r="Q34" s="1225"/>
      <c r="R34" s="1225"/>
      <c r="S34" s="423"/>
      <c r="T34" s="421"/>
      <c r="U34" s="101"/>
      <c r="V34" s="101"/>
      <c r="W34" s="59"/>
      <c r="X34" s="59"/>
      <c r="Y34" s="59"/>
      <c r="Z34" s="59"/>
      <c r="AA34" s="101"/>
      <c r="AB34" s="59"/>
      <c r="AC34" s="1234"/>
      <c r="AD34" s="59"/>
      <c r="AE34" s="368"/>
      <c r="AF34" s="368"/>
      <c r="AG34" s="369"/>
      <c r="AH34" s="370"/>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59"/>
      <c r="BW34" s="59"/>
      <c r="BX34" s="59"/>
      <c r="BY34" s="59"/>
      <c r="BZ34" s="59"/>
      <c r="CA34" s="59"/>
      <c r="CB34" s="59"/>
      <c r="CC34" s="59"/>
      <c r="CD34" s="59"/>
      <c r="CE34" s="59"/>
    </row>
    <row r="35" spans="1:83" ht="24.75" hidden="1" customHeight="1">
      <c r="A35" s="312"/>
      <c r="B35" s="60"/>
      <c r="C35" s="247"/>
      <c r="D35" s="1220"/>
      <c r="E35" s="1240" t="s">
        <v>429</v>
      </c>
      <c r="F35" s="1240"/>
      <c r="G35" s="1240"/>
      <c r="H35" s="1240"/>
      <c r="I35" s="1240"/>
      <c r="J35" s="1240"/>
      <c r="K35" s="1240"/>
      <c r="L35" s="1240"/>
      <c r="M35" s="1240"/>
      <c r="N35" s="1240"/>
      <c r="O35" s="1240"/>
      <c r="P35" s="1240"/>
      <c r="Q35" s="332">
        <f>SUMIF(T36:T37,"i",Q36:Q37)</f>
        <v>0</v>
      </c>
      <c r="R35" s="610"/>
      <c r="S35" s="150" t="s">
        <v>430</v>
      </c>
      <c r="T35" s="421" t="s">
        <v>431</v>
      </c>
      <c r="U35" s="1211">
        <v>1</v>
      </c>
      <c r="V35" s="1211" t="s">
        <v>432</v>
      </c>
      <c r="W35" s="60"/>
      <c r="X35" s="60"/>
      <c r="Y35" s="60"/>
      <c r="Z35" s="60"/>
      <c r="AA35" s="65"/>
      <c r="AB35" s="60"/>
      <c r="AC35" s="1234"/>
      <c r="AD35" s="59"/>
      <c r="AE35" s="60"/>
      <c r="AF35" s="60"/>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0"/>
      <c r="BW35" s="60"/>
      <c r="BX35" s="60"/>
      <c r="BY35" s="60"/>
      <c r="BZ35" s="60"/>
      <c r="CA35" s="60"/>
      <c r="CB35" s="60"/>
      <c r="CC35" s="60"/>
      <c r="CD35" s="60"/>
      <c r="CE35" s="60"/>
    </row>
    <row r="36" spans="1:83" ht="11.25" hidden="1" customHeight="1">
      <c r="A36" s="119"/>
      <c r="B36" s="65"/>
      <c r="C36" s="65"/>
      <c r="D36" s="1220"/>
      <c r="E36" s="371"/>
      <c r="F36" s="371">
        <v>0</v>
      </c>
      <c r="G36" s="371"/>
      <c r="H36" s="371"/>
      <c r="I36" s="371"/>
      <c r="J36" s="371"/>
      <c r="K36" s="371"/>
      <c r="L36" s="371"/>
      <c r="M36" s="371"/>
      <c r="N36" s="371"/>
      <c r="O36" s="371"/>
      <c r="P36" s="371"/>
      <c r="Q36" s="371"/>
      <c r="R36" s="371"/>
      <c r="S36" s="327"/>
      <c r="T36" s="422"/>
      <c r="U36" s="1211"/>
      <c r="V36" s="1211"/>
      <c r="W36" s="65"/>
      <c r="X36" s="65"/>
      <c r="Y36" s="65"/>
      <c r="Z36" s="65"/>
      <c r="AA36" s="65"/>
      <c r="AB36" s="60"/>
      <c r="AC36" s="1234"/>
      <c r="AD36" s="59"/>
      <c r="AE36" s="60"/>
      <c r="AF36" s="60"/>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row>
    <row r="37" spans="1:83" ht="11.25" hidden="1" customHeight="1">
      <c r="A37" s="312"/>
      <c r="B37" s="60"/>
      <c r="C37" s="247"/>
      <c r="D37" s="1220"/>
      <c r="E37" s="186" t="s">
        <v>18</v>
      </c>
      <c r="F37" s="107" t="s">
        <v>18</v>
      </c>
      <c r="G37" s="107" t="s">
        <v>433</v>
      </c>
      <c r="H37" s="50" t="s">
        <v>18</v>
      </c>
      <c r="I37" s="50"/>
      <c r="J37" s="50"/>
      <c r="K37" s="50"/>
      <c r="L37" s="50"/>
      <c r="M37" s="50"/>
      <c r="N37" s="50"/>
      <c r="O37" s="50"/>
      <c r="P37" s="50"/>
      <c r="Q37" s="50"/>
      <c r="R37" s="361"/>
      <c r="S37" s="379"/>
      <c r="T37" s="422"/>
      <c r="U37" s="1211"/>
      <c r="V37" s="1211"/>
      <c r="W37" s="60"/>
      <c r="X37" s="60"/>
      <c r="Y37" s="60"/>
      <c r="Z37" s="60"/>
      <c r="AA37" s="65"/>
      <c r="AB37" s="60"/>
      <c r="AC37" s="1234"/>
      <c r="AD37" s="59"/>
      <c r="AE37" s="60"/>
      <c r="AF37" s="60"/>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0"/>
      <c r="BW37" s="60"/>
      <c r="BX37" s="60"/>
      <c r="BY37" s="60"/>
      <c r="BZ37" s="60"/>
      <c r="CA37" s="60"/>
      <c r="CB37" s="60"/>
      <c r="CC37" s="60"/>
      <c r="CD37" s="60"/>
      <c r="CE37" s="60"/>
    </row>
    <row r="38" spans="1:83" ht="24.75" hidden="1" customHeight="1">
      <c r="A38" s="312"/>
      <c r="B38" s="60"/>
      <c r="C38" s="247"/>
      <c r="D38" s="1220"/>
      <c r="E38" s="1240" t="s">
        <v>434</v>
      </c>
      <c r="F38" s="1240"/>
      <c r="G38" s="1240"/>
      <c r="H38" s="1240"/>
      <c r="I38" s="1240"/>
      <c r="J38" s="1240"/>
      <c r="K38" s="1240"/>
      <c r="L38" s="1240"/>
      <c r="M38" s="1240"/>
      <c r="N38" s="1240"/>
      <c r="O38" s="1240"/>
      <c r="P38" s="1240"/>
      <c r="Q38" s="332">
        <f>SUMIF(T39:T40,"i",Q39:Q40)</f>
        <v>0</v>
      </c>
      <c r="R38" s="610"/>
      <c r="S38" s="150" t="s">
        <v>435</v>
      </c>
      <c r="T38" s="421" t="s">
        <v>431</v>
      </c>
      <c r="U38" s="1211">
        <v>1</v>
      </c>
      <c r="V38" s="1211" t="s">
        <v>432</v>
      </c>
      <c r="W38" s="60"/>
      <c r="X38" s="60"/>
      <c r="Y38" s="60"/>
      <c r="Z38" s="60"/>
      <c r="AA38" s="65"/>
      <c r="AB38" s="60"/>
      <c r="AC38" s="414"/>
      <c r="AD38" s="59"/>
      <c r="AE38" s="60"/>
      <c r="AF38" s="60"/>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0"/>
      <c r="BW38" s="60"/>
      <c r="BX38" s="60"/>
      <c r="BY38" s="60"/>
      <c r="BZ38" s="60"/>
      <c r="CA38" s="60"/>
      <c r="CB38" s="60"/>
      <c r="CC38" s="60"/>
      <c r="CD38" s="60"/>
      <c r="CE38" s="60"/>
    </row>
    <row r="39" spans="1:83" ht="11.25" hidden="1" customHeight="1">
      <c r="A39" s="119"/>
      <c r="B39" s="65"/>
      <c r="C39" s="65"/>
      <c r="D39" s="1220"/>
      <c r="E39" s="371"/>
      <c r="F39" s="371">
        <v>0</v>
      </c>
      <c r="G39" s="371"/>
      <c r="H39" s="371"/>
      <c r="I39" s="371"/>
      <c r="J39" s="371"/>
      <c r="K39" s="371"/>
      <c r="L39" s="371"/>
      <c r="M39" s="371"/>
      <c r="N39" s="371"/>
      <c r="O39" s="371"/>
      <c r="P39" s="371"/>
      <c r="Q39" s="371"/>
      <c r="R39" s="371"/>
      <c r="S39" s="327"/>
      <c r="T39" s="422"/>
      <c r="U39" s="1211"/>
      <c r="V39" s="1211"/>
      <c r="W39" s="65"/>
      <c r="X39" s="65"/>
      <c r="Y39" s="65"/>
      <c r="Z39" s="65"/>
      <c r="AA39" s="65"/>
      <c r="AB39" s="60"/>
      <c r="AC39" s="414"/>
      <c r="AD39" s="59"/>
      <c r="AE39" s="60"/>
      <c r="AF39" s="60"/>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row>
    <row r="40" spans="1:83" ht="11.25" hidden="1" customHeight="1">
      <c r="A40" s="312"/>
      <c r="B40" s="60"/>
      <c r="C40" s="247"/>
      <c r="D40" s="1221"/>
      <c r="E40" s="186" t="s">
        <v>18</v>
      </c>
      <c r="F40" s="107" t="s">
        <v>18</v>
      </c>
      <c r="G40" s="107" t="s">
        <v>433</v>
      </c>
      <c r="H40" s="50" t="s">
        <v>18</v>
      </c>
      <c r="I40" s="50"/>
      <c r="J40" s="50"/>
      <c r="K40" s="50"/>
      <c r="L40" s="50"/>
      <c r="M40" s="50"/>
      <c r="N40" s="50"/>
      <c r="O40" s="50"/>
      <c r="P40" s="50"/>
      <c r="Q40" s="50"/>
      <c r="R40" s="361"/>
      <c r="S40" s="379"/>
      <c r="T40" s="422"/>
      <c r="U40" s="1211"/>
      <c r="V40" s="1211"/>
      <c r="W40" s="60"/>
      <c r="X40" s="60"/>
      <c r="Y40" s="60"/>
      <c r="Z40" s="60"/>
      <c r="AA40" s="65"/>
      <c r="AB40" s="60"/>
      <c r="AC40" s="414"/>
      <c r="AD40" s="59"/>
      <c r="AE40" s="60"/>
      <c r="AF40" s="60"/>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0"/>
      <c r="BW40" s="60"/>
      <c r="BX40" s="60"/>
      <c r="BY40" s="60"/>
      <c r="BZ40" s="60"/>
      <c r="CA40" s="60"/>
      <c r="CB40" s="60"/>
      <c r="CC40" s="60"/>
      <c r="CD40" s="60"/>
      <c r="CE40" s="60"/>
    </row>
    <row r="41" spans="1:83" ht="15" hidden="1" customHeight="1">
      <c r="A41" s="31" t="s">
        <v>131</v>
      </c>
      <c r="B41"/>
      <c r="C41" t="s">
        <v>18</v>
      </c>
      <c r="D41" s="1219" t="s">
        <v>1766</v>
      </c>
      <c r="E41" s="1222" t="s">
        <v>115</v>
      </c>
      <c r="F41" s="1223"/>
      <c r="G41" s="1224"/>
      <c r="H41" s="1225" t="str">
        <f>IF(A41="","",INDEX(DIFFERENTIATION_UNMERGE_VD,MATCH(A41,DIFFERENTIATION_ID_DIFF,0)))</f>
        <v>Холодное водоснабжение. Питьевая вода</v>
      </c>
      <c r="I41" s="1225"/>
      <c r="J41" s="1225"/>
      <c r="K41" s="1225"/>
      <c r="L41" s="1225"/>
      <c r="M41" s="1225"/>
      <c r="N41" s="1225"/>
      <c r="O41" s="1225"/>
      <c r="P41" s="1225"/>
      <c r="Q41" s="1225"/>
      <c r="R41" s="1225"/>
      <c r="S41" s="423"/>
      <c r="T41" s="421"/>
      <c r="U41" s="101"/>
      <c r="V41" s="101"/>
      <c r="W41" s="59"/>
      <c r="X41" s="59"/>
      <c r="Y41" s="59"/>
      <c r="Z41" s="59"/>
      <c r="AA41" s="101"/>
      <c r="AB41" s="59"/>
      <c r="AC41" s="1234"/>
      <c r="AD41" s="59"/>
      <c r="AE41" s="368" t="s">
        <v>18</v>
      </c>
      <c r="AF41" s="368"/>
      <c r="AG41" s="369" t="s">
        <v>426</v>
      </c>
      <c r="AH41" s="370">
        <v>3</v>
      </c>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59"/>
      <c r="BW41" s="59"/>
      <c r="BX41" s="59"/>
      <c r="BY41" s="59"/>
      <c r="BZ41" s="59"/>
      <c r="CA41" s="59"/>
      <c r="CB41" s="59"/>
      <c r="CC41" s="59"/>
      <c r="CD41" s="59"/>
      <c r="CE41" s="59"/>
    </row>
    <row r="42" spans="1:83" ht="15" hidden="1" customHeight="1">
      <c r="A42" s="31"/>
      <c r="B42"/>
      <c r="C42"/>
      <c r="D42" s="1220"/>
      <c r="E42" s="1222" t="s">
        <v>427</v>
      </c>
      <c r="F42" s="1223"/>
      <c r="G42" s="1224"/>
      <c r="H42" s="1225" t="str">
        <f>IF(A41="","",INDEX(DIFFERENTIATION_UNMERGE_AREA,MATCH(A41,DIFFERENTIATION_ID_DIFF,0)))</f>
        <v>Территория 3</v>
      </c>
      <c r="I42" s="1225"/>
      <c r="J42" s="1225"/>
      <c r="K42" s="1225"/>
      <c r="L42" s="1225"/>
      <c r="M42" s="1225"/>
      <c r="N42" s="1225"/>
      <c r="O42" s="1225"/>
      <c r="P42" s="1225"/>
      <c r="Q42" s="1225"/>
      <c r="R42" s="1225"/>
      <c r="S42" s="423"/>
      <c r="T42" s="421"/>
      <c r="U42" s="101"/>
      <c r="V42" s="101"/>
      <c r="W42" s="59"/>
      <c r="X42" s="59"/>
      <c r="Y42" s="59"/>
      <c r="Z42" s="59"/>
      <c r="AA42" s="101"/>
      <c r="AB42" s="59"/>
      <c r="AC42" s="1234"/>
      <c r="AD42" s="59"/>
      <c r="AE42" s="368"/>
      <c r="AF42" s="368"/>
      <c r="AG42" s="369"/>
      <c r="AH42" s="370"/>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59"/>
      <c r="BW42" s="59"/>
      <c r="BX42" s="59"/>
      <c r="BY42" s="59"/>
      <c r="BZ42" s="59"/>
      <c r="CA42" s="59"/>
      <c r="CB42" s="59"/>
      <c r="CC42" s="59"/>
      <c r="CD42" s="59"/>
      <c r="CE42" s="59"/>
    </row>
    <row r="43" spans="1:83" ht="15" hidden="1" customHeight="1">
      <c r="A43" s="31"/>
      <c r="B43"/>
      <c r="C43"/>
      <c r="D43" s="1220"/>
      <c r="E43" s="1222" t="s">
        <v>428</v>
      </c>
      <c r="F43" s="1223"/>
      <c r="G43" s="1224"/>
      <c r="H43" s="1225" t="str">
        <f>IF(A41="","",INDEX(DIFFERENTIATION_UNMERGE_SYSTEM,MATCH(A41,DIFFERENTIATION_ID_DIFF,0)))</f>
        <v>без дифференциации</v>
      </c>
      <c r="I43" s="1225"/>
      <c r="J43" s="1225"/>
      <c r="K43" s="1225"/>
      <c r="L43" s="1225"/>
      <c r="M43" s="1225"/>
      <c r="N43" s="1225"/>
      <c r="O43" s="1225"/>
      <c r="P43" s="1225"/>
      <c r="Q43" s="1225"/>
      <c r="R43" s="1225"/>
      <c r="S43" s="423"/>
      <c r="T43" s="421"/>
      <c r="U43" s="101"/>
      <c r="V43" s="101"/>
      <c r="W43" s="59"/>
      <c r="X43" s="59"/>
      <c r="Y43" s="59"/>
      <c r="Z43" s="59"/>
      <c r="AA43" s="101"/>
      <c r="AB43" s="59"/>
      <c r="AC43" s="1234"/>
      <c r="AD43" s="59"/>
      <c r="AE43" s="368"/>
      <c r="AF43" s="368"/>
      <c r="AG43" s="369"/>
      <c r="AH43" s="370"/>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59"/>
      <c r="BW43" s="59"/>
      <c r="BX43" s="59"/>
      <c r="BY43" s="59"/>
      <c r="BZ43" s="59"/>
      <c r="CA43" s="59"/>
      <c r="CB43" s="59"/>
      <c r="CC43" s="59"/>
      <c r="CD43" s="59"/>
      <c r="CE43" s="59"/>
    </row>
    <row r="44" spans="1:83" ht="24.75" hidden="1" customHeight="1">
      <c r="A44" s="312"/>
      <c r="B44" s="60"/>
      <c r="C44" s="247"/>
      <c r="D44" s="1220"/>
      <c r="E44" s="1240" t="s">
        <v>429</v>
      </c>
      <c r="F44" s="1240"/>
      <c r="G44" s="1240"/>
      <c r="H44" s="1240"/>
      <c r="I44" s="1240"/>
      <c r="J44" s="1240"/>
      <c r="K44" s="1240"/>
      <c r="L44" s="1240"/>
      <c r="M44" s="1240"/>
      <c r="N44" s="1240"/>
      <c r="O44" s="1240"/>
      <c r="P44" s="1240"/>
      <c r="Q44" s="332">
        <f>SUMIF(T45:T46,"i",Q45:Q46)</f>
        <v>0</v>
      </c>
      <c r="R44" s="610"/>
      <c r="S44" s="150" t="s">
        <v>430</v>
      </c>
      <c r="T44" s="421" t="s">
        <v>431</v>
      </c>
      <c r="U44" s="1211">
        <v>1</v>
      </c>
      <c r="V44" s="1211" t="s">
        <v>432</v>
      </c>
      <c r="W44" s="60"/>
      <c r="X44" s="60"/>
      <c r="Y44" s="60"/>
      <c r="Z44" s="60"/>
      <c r="AA44" s="65"/>
      <c r="AB44" s="60"/>
      <c r="AC44" s="1234"/>
      <c r="AD44" s="59"/>
      <c r="AE44" s="60"/>
      <c r="AF44" s="60"/>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0"/>
      <c r="BW44" s="60"/>
      <c r="BX44" s="60"/>
      <c r="BY44" s="60"/>
      <c r="BZ44" s="60"/>
      <c r="CA44" s="60"/>
      <c r="CB44" s="60"/>
      <c r="CC44" s="60"/>
      <c r="CD44" s="60"/>
      <c r="CE44" s="60"/>
    </row>
    <row r="45" spans="1:83" ht="11.25" hidden="1" customHeight="1">
      <c r="A45" s="119"/>
      <c r="B45" s="65"/>
      <c r="C45" s="65"/>
      <c r="D45" s="1220"/>
      <c r="E45" s="371"/>
      <c r="F45" s="371">
        <v>0</v>
      </c>
      <c r="G45" s="371"/>
      <c r="H45" s="371"/>
      <c r="I45" s="371"/>
      <c r="J45" s="371"/>
      <c r="K45" s="371"/>
      <c r="L45" s="371"/>
      <c r="M45" s="371"/>
      <c r="N45" s="371"/>
      <c r="O45" s="371"/>
      <c r="P45" s="371"/>
      <c r="Q45" s="371"/>
      <c r="R45" s="371"/>
      <c r="S45" s="327"/>
      <c r="T45" s="422"/>
      <c r="U45" s="1211"/>
      <c r="V45" s="1211"/>
      <c r="W45" s="65"/>
      <c r="X45" s="65"/>
      <c r="Y45" s="65"/>
      <c r="Z45" s="65"/>
      <c r="AA45" s="65"/>
      <c r="AB45" s="60"/>
      <c r="AC45" s="1234"/>
      <c r="AD45" s="59"/>
      <c r="AE45" s="60"/>
      <c r="AF45" s="60"/>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row>
    <row r="46" spans="1:83" ht="11.25" hidden="1" customHeight="1">
      <c r="A46" s="312"/>
      <c r="B46" s="60"/>
      <c r="C46" s="247"/>
      <c r="D46" s="1220"/>
      <c r="E46" s="186" t="s">
        <v>18</v>
      </c>
      <c r="F46" s="107" t="s">
        <v>18</v>
      </c>
      <c r="G46" s="107" t="s">
        <v>433</v>
      </c>
      <c r="H46" s="50" t="s">
        <v>18</v>
      </c>
      <c r="I46" s="50"/>
      <c r="J46" s="50"/>
      <c r="K46" s="50"/>
      <c r="L46" s="50"/>
      <c r="M46" s="50"/>
      <c r="N46" s="50"/>
      <c r="O46" s="50"/>
      <c r="P46" s="50"/>
      <c r="Q46" s="50"/>
      <c r="R46" s="361"/>
      <c r="S46" s="379"/>
      <c r="T46" s="422"/>
      <c r="U46" s="1211"/>
      <c r="V46" s="1211"/>
      <c r="W46" s="60"/>
      <c r="X46" s="60"/>
      <c r="Y46" s="60"/>
      <c r="Z46" s="60"/>
      <c r="AA46" s="65"/>
      <c r="AB46" s="60"/>
      <c r="AC46" s="1234"/>
      <c r="AD46" s="59"/>
      <c r="AE46" s="60"/>
      <c r="AF46" s="60"/>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0"/>
      <c r="BW46" s="60"/>
      <c r="BX46" s="60"/>
      <c r="BY46" s="60"/>
      <c r="BZ46" s="60"/>
      <c r="CA46" s="60"/>
      <c r="CB46" s="60"/>
      <c r="CC46" s="60"/>
      <c r="CD46" s="60"/>
      <c r="CE46" s="60"/>
    </row>
    <row r="47" spans="1:83" ht="24.75" hidden="1" customHeight="1">
      <c r="A47" s="312"/>
      <c r="B47" s="60"/>
      <c r="C47" s="247"/>
      <c r="D47" s="1220"/>
      <c r="E47" s="1240" t="s">
        <v>434</v>
      </c>
      <c r="F47" s="1240"/>
      <c r="G47" s="1240"/>
      <c r="H47" s="1240"/>
      <c r="I47" s="1240"/>
      <c r="J47" s="1240"/>
      <c r="K47" s="1240"/>
      <c r="L47" s="1240"/>
      <c r="M47" s="1240"/>
      <c r="N47" s="1240"/>
      <c r="O47" s="1240"/>
      <c r="P47" s="1240"/>
      <c r="Q47" s="332">
        <f>SUMIF(T48:T49,"i",Q48:Q49)</f>
        <v>0</v>
      </c>
      <c r="R47" s="610"/>
      <c r="S47" s="150" t="s">
        <v>435</v>
      </c>
      <c r="T47" s="421" t="s">
        <v>431</v>
      </c>
      <c r="U47" s="1211">
        <v>1</v>
      </c>
      <c r="V47" s="1211" t="s">
        <v>432</v>
      </c>
      <c r="W47" s="60"/>
      <c r="X47" s="60"/>
      <c r="Y47" s="60"/>
      <c r="Z47" s="60"/>
      <c r="AA47" s="65"/>
      <c r="AB47" s="60"/>
      <c r="AC47" s="414"/>
      <c r="AD47" s="59"/>
      <c r="AE47" s="60"/>
      <c r="AF47" s="60"/>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0"/>
      <c r="BW47" s="60"/>
      <c r="BX47" s="60"/>
      <c r="BY47" s="60"/>
      <c r="BZ47" s="60"/>
      <c r="CA47" s="60"/>
      <c r="CB47" s="60"/>
      <c r="CC47" s="60"/>
      <c r="CD47" s="60"/>
      <c r="CE47" s="60"/>
    </row>
    <row r="48" spans="1:83" ht="11.25" hidden="1" customHeight="1">
      <c r="A48" s="119"/>
      <c r="B48" s="65"/>
      <c r="C48" s="65"/>
      <c r="D48" s="1220"/>
      <c r="E48" s="371"/>
      <c r="F48" s="371">
        <v>0</v>
      </c>
      <c r="G48" s="371"/>
      <c r="H48" s="371"/>
      <c r="I48" s="371"/>
      <c r="J48" s="371"/>
      <c r="K48" s="371"/>
      <c r="L48" s="371"/>
      <c r="M48" s="371"/>
      <c r="N48" s="371"/>
      <c r="O48" s="371"/>
      <c r="P48" s="371"/>
      <c r="Q48" s="371"/>
      <c r="R48" s="371"/>
      <c r="S48" s="327"/>
      <c r="T48" s="422"/>
      <c r="U48" s="1211"/>
      <c r="V48" s="1211"/>
      <c r="W48" s="65"/>
      <c r="X48" s="65"/>
      <c r="Y48" s="65"/>
      <c r="Z48" s="65"/>
      <c r="AA48" s="65"/>
      <c r="AB48" s="60"/>
      <c r="AC48" s="414"/>
      <c r="AD48" s="59"/>
      <c r="AE48" s="60"/>
      <c r="AF48" s="60"/>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row>
    <row r="49" spans="1:83" ht="11.25" hidden="1" customHeight="1">
      <c r="A49" s="312"/>
      <c r="B49" s="60"/>
      <c r="C49" s="247"/>
      <c r="D49" s="1221"/>
      <c r="E49" s="186" t="s">
        <v>18</v>
      </c>
      <c r="F49" s="107" t="s">
        <v>18</v>
      </c>
      <c r="G49" s="107" t="s">
        <v>433</v>
      </c>
      <c r="H49" s="50" t="s">
        <v>18</v>
      </c>
      <c r="I49" s="50"/>
      <c r="J49" s="50"/>
      <c r="K49" s="50"/>
      <c r="L49" s="50"/>
      <c r="M49" s="50"/>
      <c r="N49" s="50"/>
      <c r="O49" s="50"/>
      <c r="P49" s="50"/>
      <c r="Q49" s="50"/>
      <c r="R49" s="361"/>
      <c r="S49" s="379"/>
      <c r="T49" s="422"/>
      <c r="U49" s="1211"/>
      <c r="V49" s="1211"/>
      <c r="W49" s="60"/>
      <c r="X49" s="60"/>
      <c r="Y49" s="60"/>
      <c r="Z49" s="60"/>
      <c r="AA49" s="65"/>
      <c r="AB49" s="60"/>
      <c r="AC49" s="414"/>
      <c r="AD49" s="59"/>
      <c r="AE49" s="60"/>
      <c r="AF49" s="60"/>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0"/>
      <c r="BW49" s="60"/>
      <c r="BX49" s="60"/>
      <c r="BY49" s="60"/>
      <c r="BZ49" s="60"/>
      <c r="CA49" s="60"/>
      <c r="CB49" s="60"/>
      <c r="CC49" s="60"/>
      <c r="CD49" s="60"/>
      <c r="CE49" s="60"/>
    </row>
    <row r="50" spans="1:83" ht="15" hidden="1" customHeight="1">
      <c r="A50" s="31" t="s">
        <v>135</v>
      </c>
      <c r="B50"/>
      <c r="C50" t="s">
        <v>18</v>
      </c>
      <c r="D50" s="1219" t="s">
        <v>1767</v>
      </c>
      <c r="E50" s="1222" t="s">
        <v>115</v>
      </c>
      <c r="F50" s="1223"/>
      <c r="G50" s="1224"/>
      <c r="H50" s="1225" t="str">
        <f>IF(A50="","",INDEX(DIFFERENTIATION_UNMERGE_VD,MATCH(A50,DIFFERENTIATION_ID_DIFF,0)))</f>
        <v>Холодное водоснабжение. Техническая вода</v>
      </c>
      <c r="I50" s="1225"/>
      <c r="J50" s="1225"/>
      <c r="K50" s="1225"/>
      <c r="L50" s="1225"/>
      <c r="M50" s="1225"/>
      <c r="N50" s="1225"/>
      <c r="O50" s="1225"/>
      <c r="P50" s="1225"/>
      <c r="Q50" s="1225"/>
      <c r="R50" s="1225"/>
      <c r="S50" s="423"/>
      <c r="T50" s="421"/>
      <c r="U50" s="101"/>
      <c r="V50" s="101"/>
      <c r="W50" s="59"/>
      <c r="X50" s="59"/>
      <c r="Y50" s="59"/>
      <c r="Z50" s="59"/>
      <c r="AA50" s="101"/>
      <c r="AB50" s="59"/>
      <c r="AC50" s="1234"/>
      <c r="AD50" s="59"/>
      <c r="AE50" s="368" t="s">
        <v>18</v>
      </c>
      <c r="AF50" s="368"/>
      <c r="AG50" s="369" t="s">
        <v>426</v>
      </c>
      <c r="AH50" s="370">
        <v>3</v>
      </c>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59"/>
      <c r="BW50" s="59"/>
      <c r="BX50" s="59"/>
      <c r="BY50" s="59"/>
      <c r="BZ50" s="59"/>
      <c r="CA50" s="59"/>
      <c r="CB50" s="59"/>
      <c r="CC50" s="59"/>
      <c r="CD50" s="59"/>
      <c r="CE50" s="59"/>
    </row>
    <row r="51" spans="1:83" ht="15" hidden="1" customHeight="1">
      <c r="A51" s="31"/>
      <c r="B51"/>
      <c r="C51"/>
      <c r="D51" s="1220"/>
      <c r="E51" s="1222" t="s">
        <v>427</v>
      </c>
      <c r="F51" s="1223"/>
      <c r="G51" s="1224"/>
      <c r="H51" s="1225" t="str">
        <f>IF(A50="","",INDEX(DIFFERENTIATION_UNMERGE_AREA,MATCH(A50,DIFFERENTIATION_ID_DIFF,0)))</f>
        <v>Территория 2</v>
      </c>
      <c r="I51" s="1225"/>
      <c r="J51" s="1225"/>
      <c r="K51" s="1225"/>
      <c r="L51" s="1225"/>
      <c r="M51" s="1225"/>
      <c r="N51" s="1225"/>
      <c r="O51" s="1225"/>
      <c r="P51" s="1225"/>
      <c r="Q51" s="1225"/>
      <c r="R51" s="1225"/>
      <c r="S51" s="423"/>
      <c r="T51" s="421"/>
      <c r="U51" s="101"/>
      <c r="V51" s="101"/>
      <c r="W51" s="59"/>
      <c r="X51" s="59"/>
      <c r="Y51" s="59"/>
      <c r="Z51" s="59"/>
      <c r="AA51" s="101"/>
      <c r="AB51" s="59"/>
      <c r="AC51" s="1234"/>
      <c r="AD51" s="59"/>
      <c r="AE51" s="368"/>
      <c r="AF51" s="368"/>
      <c r="AG51" s="369"/>
      <c r="AH51" s="370"/>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59"/>
      <c r="BW51" s="59"/>
      <c r="BX51" s="59"/>
      <c r="BY51" s="59"/>
      <c r="BZ51" s="59"/>
      <c r="CA51" s="59"/>
      <c r="CB51" s="59"/>
      <c r="CC51" s="59"/>
      <c r="CD51" s="59"/>
      <c r="CE51" s="59"/>
    </row>
    <row r="52" spans="1:83" ht="15" hidden="1" customHeight="1">
      <c r="A52" s="31"/>
      <c r="B52"/>
      <c r="C52"/>
      <c r="D52" s="1220"/>
      <c r="E52" s="1222" t="s">
        <v>428</v>
      </c>
      <c r="F52" s="1223"/>
      <c r="G52" s="1224"/>
      <c r="H52" s="1225" t="str">
        <f>IF(A50="","",INDEX(DIFFERENTIATION_UNMERGE_SYSTEM,MATCH(A50,DIFFERENTIATION_ID_DIFF,0)))</f>
        <v>без дифференциации</v>
      </c>
      <c r="I52" s="1225"/>
      <c r="J52" s="1225"/>
      <c r="K52" s="1225"/>
      <c r="L52" s="1225"/>
      <c r="M52" s="1225"/>
      <c r="N52" s="1225"/>
      <c r="O52" s="1225"/>
      <c r="P52" s="1225"/>
      <c r="Q52" s="1225"/>
      <c r="R52" s="1225"/>
      <c r="S52" s="423"/>
      <c r="T52" s="421"/>
      <c r="U52" s="101"/>
      <c r="V52" s="101"/>
      <c r="W52" s="59"/>
      <c r="X52" s="59"/>
      <c r="Y52" s="59"/>
      <c r="Z52" s="59"/>
      <c r="AA52" s="101"/>
      <c r="AB52" s="59"/>
      <c r="AC52" s="1234"/>
      <c r="AD52" s="59"/>
      <c r="AE52" s="368"/>
      <c r="AF52" s="368"/>
      <c r="AG52" s="369"/>
      <c r="AH52" s="370"/>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59"/>
      <c r="BW52" s="59"/>
      <c r="BX52" s="59"/>
      <c r="BY52" s="59"/>
      <c r="BZ52" s="59"/>
      <c r="CA52" s="59"/>
      <c r="CB52" s="59"/>
      <c r="CC52" s="59"/>
      <c r="CD52" s="59"/>
      <c r="CE52" s="59"/>
    </row>
    <row r="53" spans="1:83" ht="24.75" hidden="1" customHeight="1">
      <c r="A53" s="312"/>
      <c r="B53" s="60"/>
      <c r="C53" s="247"/>
      <c r="D53" s="1220"/>
      <c r="E53" s="1240" t="s">
        <v>429</v>
      </c>
      <c r="F53" s="1240"/>
      <c r="G53" s="1240"/>
      <c r="H53" s="1240"/>
      <c r="I53" s="1240"/>
      <c r="J53" s="1240"/>
      <c r="K53" s="1240"/>
      <c r="L53" s="1240"/>
      <c r="M53" s="1240"/>
      <c r="N53" s="1240"/>
      <c r="O53" s="1240"/>
      <c r="P53" s="1240"/>
      <c r="Q53" s="332">
        <f>SUMIF(T54:T55,"i",Q54:Q55)</f>
        <v>0</v>
      </c>
      <c r="R53" s="610"/>
      <c r="S53" s="150" t="s">
        <v>430</v>
      </c>
      <c r="T53" s="421" t="s">
        <v>431</v>
      </c>
      <c r="U53" s="1211">
        <v>1</v>
      </c>
      <c r="V53" s="1211" t="s">
        <v>432</v>
      </c>
      <c r="W53" s="60"/>
      <c r="X53" s="60"/>
      <c r="Y53" s="60"/>
      <c r="Z53" s="60"/>
      <c r="AA53" s="65"/>
      <c r="AB53" s="60"/>
      <c r="AC53" s="1234"/>
      <c r="AD53" s="59"/>
      <c r="AE53" s="60"/>
      <c r="AF53" s="60"/>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0"/>
      <c r="BW53" s="60"/>
      <c r="BX53" s="60"/>
      <c r="BY53" s="60"/>
      <c r="BZ53" s="60"/>
      <c r="CA53" s="60"/>
      <c r="CB53" s="60"/>
      <c r="CC53" s="60"/>
      <c r="CD53" s="60"/>
      <c r="CE53" s="60"/>
    </row>
    <row r="54" spans="1:83" ht="11.25" hidden="1" customHeight="1">
      <c r="A54" s="119"/>
      <c r="B54" s="65"/>
      <c r="C54" s="65"/>
      <c r="D54" s="1220"/>
      <c r="E54" s="371"/>
      <c r="F54" s="371">
        <v>0</v>
      </c>
      <c r="G54" s="371"/>
      <c r="H54" s="371"/>
      <c r="I54" s="371"/>
      <c r="J54" s="371"/>
      <c r="K54" s="371"/>
      <c r="L54" s="371"/>
      <c r="M54" s="371"/>
      <c r="N54" s="371"/>
      <c r="O54" s="371"/>
      <c r="P54" s="371"/>
      <c r="Q54" s="371"/>
      <c r="R54" s="371"/>
      <c r="S54" s="327"/>
      <c r="T54" s="422"/>
      <c r="U54" s="1211"/>
      <c r="V54" s="1211"/>
      <c r="W54" s="65"/>
      <c r="X54" s="65"/>
      <c r="Y54" s="65"/>
      <c r="Z54" s="65"/>
      <c r="AA54" s="65"/>
      <c r="AB54" s="60"/>
      <c r="AC54" s="1234"/>
      <c r="AD54" s="59"/>
      <c r="AE54" s="60"/>
      <c r="AF54" s="60"/>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row>
    <row r="55" spans="1:83" ht="11.25" hidden="1" customHeight="1">
      <c r="A55" s="312"/>
      <c r="B55" s="60"/>
      <c r="C55" s="247"/>
      <c r="D55" s="1220"/>
      <c r="E55" s="186" t="s">
        <v>18</v>
      </c>
      <c r="F55" s="107" t="s">
        <v>18</v>
      </c>
      <c r="G55" s="107" t="s">
        <v>433</v>
      </c>
      <c r="H55" s="50" t="s">
        <v>18</v>
      </c>
      <c r="I55" s="50"/>
      <c r="J55" s="50"/>
      <c r="K55" s="50"/>
      <c r="L55" s="50"/>
      <c r="M55" s="50"/>
      <c r="N55" s="50"/>
      <c r="O55" s="50"/>
      <c r="P55" s="50"/>
      <c r="Q55" s="50"/>
      <c r="R55" s="361"/>
      <c r="S55" s="379"/>
      <c r="T55" s="422"/>
      <c r="U55" s="1211"/>
      <c r="V55" s="1211"/>
      <c r="W55" s="60"/>
      <c r="X55" s="60"/>
      <c r="Y55" s="60"/>
      <c r="Z55" s="60"/>
      <c r="AA55" s="65"/>
      <c r="AB55" s="60"/>
      <c r="AC55" s="1234"/>
      <c r="AD55" s="59"/>
      <c r="AE55" s="60"/>
      <c r="AF55" s="60"/>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0"/>
      <c r="BW55" s="60"/>
      <c r="BX55" s="60"/>
      <c r="BY55" s="60"/>
      <c r="BZ55" s="60"/>
      <c r="CA55" s="60"/>
      <c r="CB55" s="60"/>
      <c r="CC55" s="60"/>
      <c r="CD55" s="60"/>
      <c r="CE55" s="60"/>
    </row>
    <row r="56" spans="1:83" ht="24.75" hidden="1" customHeight="1">
      <c r="A56" s="312"/>
      <c r="B56" s="60"/>
      <c r="C56" s="247"/>
      <c r="D56" s="1220"/>
      <c r="E56" s="1240" t="s">
        <v>434</v>
      </c>
      <c r="F56" s="1240"/>
      <c r="G56" s="1240"/>
      <c r="H56" s="1240"/>
      <c r="I56" s="1240"/>
      <c r="J56" s="1240"/>
      <c r="K56" s="1240"/>
      <c r="L56" s="1240"/>
      <c r="M56" s="1240"/>
      <c r="N56" s="1240"/>
      <c r="O56" s="1240"/>
      <c r="P56" s="1240"/>
      <c r="Q56" s="332">
        <f>SUMIF(T57:T58,"i",Q57:Q58)</f>
        <v>0</v>
      </c>
      <c r="R56" s="610"/>
      <c r="S56" s="150" t="s">
        <v>435</v>
      </c>
      <c r="T56" s="421" t="s">
        <v>431</v>
      </c>
      <c r="U56" s="1211">
        <v>1</v>
      </c>
      <c r="V56" s="1211" t="s">
        <v>432</v>
      </c>
      <c r="W56" s="60"/>
      <c r="X56" s="60"/>
      <c r="Y56" s="60"/>
      <c r="Z56" s="60"/>
      <c r="AA56" s="65"/>
      <c r="AB56" s="60"/>
      <c r="AC56" s="414"/>
      <c r="AD56" s="59"/>
      <c r="AE56" s="60"/>
      <c r="AF56" s="60"/>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0"/>
      <c r="BW56" s="60"/>
      <c r="BX56" s="60"/>
      <c r="BY56" s="60"/>
      <c r="BZ56" s="60"/>
      <c r="CA56" s="60"/>
      <c r="CB56" s="60"/>
      <c r="CC56" s="60"/>
      <c r="CD56" s="60"/>
      <c r="CE56" s="60"/>
    </row>
    <row r="57" spans="1:83" ht="11.25" hidden="1" customHeight="1">
      <c r="A57" s="119"/>
      <c r="B57" s="65"/>
      <c r="C57" s="65"/>
      <c r="D57" s="1220"/>
      <c r="E57" s="371"/>
      <c r="F57" s="371">
        <v>0</v>
      </c>
      <c r="G57" s="371"/>
      <c r="H57" s="371"/>
      <c r="I57" s="371"/>
      <c r="J57" s="371"/>
      <c r="K57" s="371"/>
      <c r="L57" s="371"/>
      <c r="M57" s="371"/>
      <c r="N57" s="371"/>
      <c r="O57" s="371"/>
      <c r="P57" s="371"/>
      <c r="Q57" s="371"/>
      <c r="R57" s="371"/>
      <c r="S57" s="327"/>
      <c r="T57" s="422"/>
      <c r="U57" s="1211"/>
      <c r="V57" s="1211"/>
      <c r="W57" s="65"/>
      <c r="X57" s="65"/>
      <c r="Y57" s="65"/>
      <c r="Z57" s="65"/>
      <c r="AA57" s="65"/>
      <c r="AB57" s="60"/>
      <c r="AC57" s="414"/>
      <c r="AD57" s="59"/>
      <c r="AE57" s="60"/>
      <c r="AF57" s="60"/>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row>
    <row r="58" spans="1:83" ht="11.25" hidden="1" customHeight="1">
      <c r="A58" s="312"/>
      <c r="B58" s="60"/>
      <c r="C58" s="247"/>
      <c r="D58" s="1221"/>
      <c r="E58" s="186" t="s">
        <v>18</v>
      </c>
      <c r="F58" s="107" t="s">
        <v>18</v>
      </c>
      <c r="G58" s="107" t="s">
        <v>433</v>
      </c>
      <c r="H58" s="50" t="s">
        <v>18</v>
      </c>
      <c r="I58" s="50"/>
      <c r="J58" s="50"/>
      <c r="K58" s="50"/>
      <c r="L58" s="50"/>
      <c r="M58" s="50"/>
      <c r="N58" s="50"/>
      <c r="O58" s="50"/>
      <c r="P58" s="50"/>
      <c r="Q58" s="50"/>
      <c r="R58" s="361"/>
      <c r="S58" s="379"/>
      <c r="T58" s="422"/>
      <c r="U58" s="1211"/>
      <c r="V58" s="1211"/>
      <c r="W58" s="60"/>
      <c r="X58" s="60"/>
      <c r="Y58" s="60"/>
      <c r="Z58" s="60"/>
      <c r="AA58" s="65"/>
      <c r="AB58" s="60"/>
      <c r="AC58" s="414"/>
      <c r="AD58" s="59"/>
      <c r="AE58" s="60"/>
      <c r="AF58" s="60"/>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0"/>
      <c r="BW58" s="60"/>
      <c r="BX58" s="60"/>
      <c r="BY58" s="60"/>
      <c r="BZ58" s="60"/>
      <c r="CA58" s="60"/>
      <c r="CB58" s="60"/>
      <c r="CC58" s="60"/>
      <c r="CD58" s="60"/>
      <c r="CE58" s="60"/>
    </row>
    <row r="59" spans="1:83" ht="15" hidden="1" customHeight="1">
      <c r="A59" s="31" t="s">
        <v>136</v>
      </c>
      <c r="B59"/>
      <c r="C59" t="s">
        <v>18</v>
      </c>
      <c r="D59" s="1219" t="s">
        <v>1768</v>
      </c>
      <c r="E59" s="1222" t="s">
        <v>115</v>
      </c>
      <c r="F59" s="1223"/>
      <c r="G59" s="1224"/>
      <c r="H59" s="1225" t="str">
        <f>IF(A59="","",INDEX(DIFFERENTIATION_UNMERGE_VD,MATCH(A59,DIFFERENTIATION_ID_DIFF,0)))</f>
        <v>Холодное водоснабжение. Техническая вода</v>
      </c>
      <c r="I59" s="1225"/>
      <c r="J59" s="1225"/>
      <c r="K59" s="1225"/>
      <c r="L59" s="1225"/>
      <c r="M59" s="1225"/>
      <c r="N59" s="1225"/>
      <c r="O59" s="1225"/>
      <c r="P59" s="1225"/>
      <c r="Q59" s="1225"/>
      <c r="R59" s="1225"/>
      <c r="S59" s="423"/>
      <c r="T59" s="421"/>
      <c r="U59" s="101"/>
      <c r="V59" s="101"/>
      <c r="W59" s="59"/>
      <c r="X59" s="59"/>
      <c r="Y59" s="59"/>
      <c r="Z59" s="59"/>
      <c r="AA59" s="101"/>
      <c r="AB59" s="59"/>
      <c r="AC59" s="1234"/>
      <c r="AD59" s="59"/>
      <c r="AE59" s="368" t="s">
        <v>18</v>
      </c>
      <c r="AF59" s="368"/>
      <c r="AG59" s="369" t="s">
        <v>426</v>
      </c>
      <c r="AH59" s="370">
        <v>3</v>
      </c>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59"/>
      <c r="BW59" s="59"/>
      <c r="BX59" s="59"/>
      <c r="BY59" s="59"/>
      <c r="BZ59" s="59"/>
      <c r="CA59" s="59"/>
      <c r="CB59" s="59"/>
      <c r="CC59" s="59"/>
      <c r="CD59" s="59"/>
      <c r="CE59" s="59"/>
    </row>
    <row r="60" spans="1:83" ht="15" hidden="1" customHeight="1">
      <c r="A60" s="31"/>
      <c r="B60"/>
      <c r="C60"/>
      <c r="D60" s="1220"/>
      <c r="E60" s="1222" t="s">
        <v>427</v>
      </c>
      <c r="F60" s="1223"/>
      <c r="G60" s="1224"/>
      <c r="H60" s="1225" t="str">
        <f>IF(A59="","",INDEX(DIFFERENTIATION_UNMERGE_AREA,MATCH(A59,DIFFERENTIATION_ID_DIFF,0)))</f>
        <v>Территория 3</v>
      </c>
      <c r="I60" s="1225"/>
      <c r="J60" s="1225"/>
      <c r="K60" s="1225"/>
      <c r="L60" s="1225"/>
      <c r="M60" s="1225"/>
      <c r="N60" s="1225"/>
      <c r="O60" s="1225"/>
      <c r="P60" s="1225"/>
      <c r="Q60" s="1225"/>
      <c r="R60" s="1225"/>
      <c r="S60" s="423"/>
      <c r="T60" s="421"/>
      <c r="U60" s="101"/>
      <c r="V60" s="101"/>
      <c r="W60" s="59"/>
      <c r="X60" s="59"/>
      <c r="Y60" s="59"/>
      <c r="Z60" s="59"/>
      <c r="AA60" s="101"/>
      <c r="AB60" s="59"/>
      <c r="AC60" s="1234"/>
      <c r="AD60" s="59"/>
      <c r="AE60" s="368"/>
      <c r="AF60" s="368"/>
      <c r="AG60" s="369"/>
      <c r="AH60" s="370"/>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59"/>
      <c r="BW60" s="59"/>
      <c r="BX60" s="59"/>
      <c r="BY60" s="59"/>
      <c r="BZ60" s="59"/>
      <c r="CA60" s="59"/>
      <c r="CB60" s="59"/>
      <c r="CC60" s="59"/>
      <c r="CD60" s="59"/>
      <c r="CE60" s="59"/>
    </row>
    <row r="61" spans="1:83" ht="15" hidden="1" customHeight="1">
      <c r="A61" s="31"/>
      <c r="B61"/>
      <c r="C61"/>
      <c r="D61" s="1220"/>
      <c r="E61" s="1222" t="s">
        <v>428</v>
      </c>
      <c r="F61" s="1223"/>
      <c r="G61" s="1224"/>
      <c r="H61" s="1225" t="str">
        <f>IF(A59="","",INDEX(DIFFERENTIATION_UNMERGE_SYSTEM,MATCH(A59,DIFFERENTIATION_ID_DIFF,0)))</f>
        <v>без дифференциации</v>
      </c>
      <c r="I61" s="1225"/>
      <c r="J61" s="1225"/>
      <c r="K61" s="1225"/>
      <c r="L61" s="1225"/>
      <c r="M61" s="1225"/>
      <c r="N61" s="1225"/>
      <c r="O61" s="1225"/>
      <c r="P61" s="1225"/>
      <c r="Q61" s="1225"/>
      <c r="R61" s="1225"/>
      <c r="S61" s="423"/>
      <c r="T61" s="421"/>
      <c r="U61" s="101"/>
      <c r="V61" s="101"/>
      <c r="W61" s="59"/>
      <c r="X61" s="59"/>
      <c r="Y61" s="59"/>
      <c r="Z61" s="59"/>
      <c r="AA61" s="101"/>
      <c r="AB61" s="59"/>
      <c r="AC61" s="1234"/>
      <c r="AD61" s="59"/>
      <c r="AE61" s="368"/>
      <c r="AF61" s="368"/>
      <c r="AG61" s="369"/>
      <c r="AH61" s="370"/>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59"/>
      <c r="BW61" s="59"/>
      <c r="BX61" s="59"/>
      <c r="BY61" s="59"/>
      <c r="BZ61" s="59"/>
      <c r="CA61" s="59"/>
      <c r="CB61" s="59"/>
      <c r="CC61" s="59"/>
      <c r="CD61" s="59"/>
      <c r="CE61" s="59"/>
    </row>
    <row r="62" spans="1:83" ht="24.75" hidden="1" customHeight="1">
      <c r="A62" s="312"/>
      <c r="B62" s="60"/>
      <c r="C62" s="247"/>
      <c r="D62" s="1220"/>
      <c r="E62" s="1240" t="s">
        <v>429</v>
      </c>
      <c r="F62" s="1240"/>
      <c r="G62" s="1240"/>
      <c r="H62" s="1240"/>
      <c r="I62" s="1240"/>
      <c r="J62" s="1240"/>
      <c r="K62" s="1240"/>
      <c r="L62" s="1240"/>
      <c r="M62" s="1240"/>
      <c r="N62" s="1240"/>
      <c r="O62" s="1240"/>
      <c r="P62" s="1240"/>
      <c r="Q62" s="332">
        <f>SUMIF(T63:T64,"i",Q63:Q64)</f>
        <v>0</v>
      </c>
      <c r="R62" s="610"/>
      <c r="S62" s="150" t="s">
        <v>430</v>
      </c>
      <c r="T62" s="421" t="s">
        <v>431</v>
      </c>
      <c r="U62" s="1211">
        <v>1</v>
      </c>
      <c r="V62" s="1211" t="s">
        <v>432</v>
      </c>
      <c r="W62" s="60"/>
      <c r="X62" s="60"/>
      <c r="Y62" s="60"/>
      <c r="Z62" s="60"/>
      <c r="AA62" s="65"/>
      <c r="AB62" s="60"/>
      <c r="AC62" s="1234"/>
      <c r="AD62" s="59"/>
      <c r="AE62" s="60"/>
      <c r="AF62" s="60"/>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0"/>
      <c r="BW62" s="60"/>
      <c r="BX62" s="60"/>
      <c r="BY62" s="60"/>
      <c r="BZ62" s="60"/>
      <c r="CA62" s="60"/>
      <c r="CB62" s="60"/>
      <c r="CC62" s="60"/>
      <c r="CD62" s="60"/>
      <c r="CE62" s="60"/>
    </row>
    <row r="63" spans="1:83" ht="11.25" hidden="1" customHeight="1">
      <c r="A63" s="119"/>
      <c r="B63" s="65"/>
      <c r="C63" s="65"/>
      <c r="D63" s="1220"/>
      <c r="E63" s="371"/>
      <c r="F63" s="371">
        <v>0</v>
      </c>
      <c r="G63" s="371"/>
      <c r="H63" s="371"/>
      <c r="I63" s="371"/>
      <c r="J63" s="371"/>
      <c r="K63" s="371"/>
      <c r="L63" s="371"/>
      <c r="M63" s="371"/>
      <c r="N63" s="371"/>
      <c r="O63" s="371"/>
      <c r="P63" s="371"/>
      <c r="Q63" s="371"/>
      <c r="R63" s="371"/>
      <c r="S63" s="327"/>
      <c r="T63" s="422"/>
      <c r="U63" s="1211"/>
      <c r="V63" s="1211"/>
      <c r="W63" s="65"/>
      <c r="X63" s="65"/>
      <c r="Y63" s="65"/>
      <c r="Z63" s="65"/>
      <c r="AA63" s="65"/>
      <c r="AB63" s="60"/>
      <c r="AC63" s="1234"/>
      <c r="AD63" s="59"/>
      <c r="AE63" s="60"/>
      <c r="AF63" s="60"/>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row>
    <row r="64" spans="1:83" ht="11.25" hidden="1" customHeight="1">
      <c r="A64" s="312"/>
      <c r="B64" s="60"/>
      <c r="C64" s="247"/>
      <c r="D64" s="1220"/>
      <c r="E64" s="186" t="s">
        <v>18</v>
      </c>
      <c r="F64" s="107" t="s">
        <v>18</v>
      </c>
      <c r="G64" s="107" t="s">
        <v>433</v>
      </c>
      <c r="H64" s="50" t="s">
        <v>18</v>
      </c>
      <c r="I64" s="50"/>
      <c r="J64" s="50"/>
      <c r="K64" s="50"/>
      <c r="L64" s="50"/>
      <c r="M64" s="50"/>
      <c r="N64" s="50"/>
      <c r="O64" s="50"/>
      <c r="P64" s="50"/>
      <c r="Q64" s="50"/>
      <c r="R64" s="361"/>
      <c r="S64" s="379"/>
      <c r="T64" s="422"/>
      <c r="U64" s="1211"/>
      <c r="V64" s="1211"/>
      <c r="W64" s="60"/>
      <c r="X64" s="60"/>
      <c r="Y64" s="60"/>
      <c r="Z64" s="60"/>
      <c r="AA64" s="65"/>
      <c r="AB64" s="60"/>
      <c r="AC64" s="1234"/>
      <c r="AD64" s="59"/>
      <c r="AE64" s="60"/>
      <c r="AF64" s="60"/>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0"/>
      <c r="BW64" s="60"/>
      <c r="BX64" s="60"/>
      <c r="BY64" s="60"/>
      <c r="BZ64" s="60"/>
      <c r="CA64" s="60"/>
      <c r="CB64" s="60"/>
      <c r="CC64" s="60"/>
      <c r="CD64" s="60"/>
      <c r="CE64" s="60"/>
    </row>
    <row r="65" spans="1:83" ht="24.75" hidden="1" customHeight="1">
      <c r="A65" s="312"/>
      <c r="B65" s="60"/>
      <c r="C65" s="247"/>
      <c r="D65" s="1220"/>
      <c r="E65" s="1240" t="s">
        <v>434</v>
      </c>
      <c r="F65" s="1240"/>
      <c r="G65" s="1240"/>
      <c r="H65" s="1240"/>
      <c r="I65" s="1240"/>
      <c r="J65" s="1240"/>
      <c r="K65" s="1240"/>
      <c r="L65" s="1240"/>
      <c r="M65" s="1240"/>
      <c r="N65" s="1240"/>
      <c r="O65" s="1240"/>
      <c r="P65" s="1240"/>
      <c r="Q65" s="332">
        <f>SUMIF(T66:T67,"i",Q66:Q67)</f>
        <v>0</v>
      </c>
      <c r="R65" s="610"/>
      <c r="S65" s="150" t="s">
        <v>435</v>
      </c>
      <c r="T65" s="421" t="s">
        <v>431</v>
      </c>
      <c r="U65" s="1211">
        <v>1</v>
      </c>
      <c r="V65" s="1211" t="s">
        <v>432</v>
      </c>
      <c r="W65" s="60"/>
      <c r="X65" s="60"/>
      <c r="Y65" s="60"/>
      <c r="Z65" s="60"/>
      <c r="AA65" s="65"/>
      <c r="AB65" s="60"/>
      <c r="AC65" s="414"/>
      <c r="AD65" s="59"/>
      <c r="AE65" s="60"/>
      <c r="AF65" s="60"/>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0"/>
      <c r="BW65" s="60"/>
      <c r="BX65" s="60"/>
      <c r="BY65" s="60"/>
      <c r="BZ65" s="60"/>
      <c r="CA65" s="60"/>
      <c r="CB65" s="60"/>
      <c r="CC65" s="60"/>
      <c r="CD65" s="60"/>
      <c r="CE65" s="60"/>
    </row>
    <row r="66" spans="1:83" ht="11.25" hidden="1" customHeight="1">
      <c r="A66" s="119"/>
      <c r="B66" s="65"/>
      <c r="C66" s="65"/>
      <c r="D66" s="1220"/>
      <c r="E66" s="371"/>
      <c r="F66" s="371">
        <v>0</v>
      </c>
      <c r="G66" s="371"/>
      <c r="H66" s="371"/>
      <c r="I66" s="371"/>
      <c r="J66" s="371"/>
      <c r="K66" s="371"/>
      <c r="L66" s="371"/>
      <c r="M66" s="371"/>
      <c r="N66" s="371"/>
      <c r="O66" s="371"/>
      <c r="P66" s="371"/>
      <c r="Q66" s="371"/>
      <c r="R66" s="371"/>
      <c r="S66" s="327"/>
      <c r="T66" s="422"/>
      <c r="U66" s="1211"/>
      <c r="V66" s="1211"/>
      <c r="W66" s="65"/>
      <c r="X66" s="65"/>
      <c r="Y66" s="65"/>
      <c r="Z66" s="65"/>
      <c r="AA66" s="65"/>
      <c r="AB66" s="60"/>
      <c r="AC66" s="414"/>
      <c r="AD66" s="59"/>
      <c r="AE66" s="60"/>
      <c r="AF66" s="60"/>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row>
    <row r="67" spans="1:83" ht="11.25" hidden="1" customHeight="1">
      <c r="A67" s="312"/>
      <c r="B67" s="60"/>
      <c r="C67" s="247"/>
      <c r="D67" s="1221"/>
      <c r="E67" s="186" t="s">
        <v>18</v>
      </c>
      <c r="F67" s="107" t="s">
        <v>18</v>
      </c>
      <c r="G67" s="107" t="s">
        <v>433</v>
      </c>
      <c r="H67" s="50" t="s">
        <v>18</v>
      </c>
      <c r="I67" s="50"/>
      <c r="J67" s="50"/>
      <c r="K67" s="50"/>
      <c r="L67" s="50"/>
      <c r="M67" s="50"/>
      <c r="N67" s="50"/>
      <c r="O67" s="50"/>
      <c r="P67" s="50"/>
      <c r="Q67" s="50"/>
      <c r="R67" s="361"/>
      <c r="S67" s="379"/>
      <c r="T67" s="422"/>
      <c r="U67" s="1211"/>
      <c r="V67" s="1211"/>
      <c r="W67" s="60"/>
      <c r="X67" s="60"/>
      <c r="Y67" s="60"/>
      <c r="Z67" s="60"/>
      <c r="AA67" s="65"/>
      <c r="AB67" s="60"/>
      <c r="AC67" s="414"/>
      <c r="AD67" s="59"/>
      <c r="AE67" s="60"/>
      <c r="AF67" s="60"/>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0"/>
      <c r="BW67" s="60"/>
      <c r="BX67" s="60"/>
      <c r="BY67" s="60"/>
      <c r="BZ67" s="60"/>
      <c r="CA67" s="60"/>
      <c r="CB67" s="60"/>
      <c r="CC67" s="60"/>
      <c r="CD67" s="60"/>
      <c r="CE67" s="60"/>
    </row>
    <row r="68" spans="1:83" ht="18.75" customHeight="1">
      <c r="D68" s="632"/>
      <c r="E68" s="632"/>
      <c r="F68" s="632"/>
      <c r="G68" s="632"/>
      <c r="H68" s="632"/>
      <c r="I68" s="632"/>
      <c r="J68" s="632"/>
      <c r="K68" s="632"/>
      <c r="L68" s="632"/>
      <c r="M68" s="632"/>
      <c r="N68" s="632"/>
      <c r="O68" s="632"/>
      <c r="P68" s="632"/>
      <c r="Q68" s="632"/>
      <c r="R68" s="632"/>
      <c r="S68" s="632"/>
      <c r="T68" s="202"/>
    </row>
    <row r="70" spans="1:83" ht="11.25" customHeight="1">
      <c r="D70" s="75"/>
      <c r="E70" s="75"/>
      <c r="F70" s="75"/>
      <c r="G70" s="33"/>
    </row>
    <row r="72" spans="1:83" ht="11.25" customHeight="1">
      <c r="D72" s="380"/>
      <c r="E72" s="1408"/>
      <c r="F72" s="1408"/>
      <c r="G72" s="1408"/>
      <c r="H72" s="1408"/>
      <c r="I72" s="1408"/>
      <c r="J72" s="1408"/>
      <c r="K72" s="1408"/>
      <c r="L72" s="1408"/>
      <c r="M72" s="1408"/>
      <c r="N72" s="1408"/>
      <c r="O72" s="1408"/>
      <c r="P72" s="1408"/>
      <c r="Q72" s="1408"/>
      <c r="R72" s="1408"/>
    </row>
  </sheetData>
  <sheetProtection formatColumns="0" formatRows="0" insertRows="0" deleteColumns="0" deleteRows="0" sort="0" autoFilter="0"/>
  <mergeCells count="92">
    <mergeCell ref="AC59:AC64"/>
    <mergeCell ref="E60:G60"/>
    <mergeCell ref="H60:R60"/>
    <mergeCell ref="E61:G61"/>
    <mergeCell ref="H61:R61"/>
    <mergeCell ref="E62:P62"/>
    <mergeCell ref="U62:U64"/>
    <mergeCell ref="V62:V64"/>
    <mergeCell ref="U65:U67"/>
    <mergeCell ref="V65:V67"/>
    <mergeCell ref="D59:D67"/>
    <mergeCell ref="E59:G59"/>
    <mergeCell ref="H59:R59"/>
    <mergeCell ref="E65:P65"/>
    <mergeCell ref="AC50:AC55"/>
    <mergeCell ref="E51:G51"/>
    <mergeCell ref="H51:R51"/>
    <mergeCell ref="E52:G52"/>
    <mergeCell ref="H52:R52"/>
    <mergeCell ref="E53:P53"/>
    <mergeCell ref="U53:U55"/>
    <mergeCell ref="V53:V55"/>
    <mergeCell ref="U56:U58"/>
    <mergeCell ref="V56:V58"/>
    <mergeCell ref="D50:D58"/>
    <mergeCell ref="E50:G50"/>
    <mergeCell ref="H50:R50"/>
    <mergeCell ref="E56:P56"/>
    <mergeCell ref="AC41:AC46"/>
    <mergeCell ref="E42:G42"/>
    <mergeCell ref="H42:R42"/>
    <mergeCell ref="E43:G43"/>
    <mergeCell ref="H43:R43"/>
    <mergeCell ref="E44:P44"/>
    <mergeCell ref="U44:U46"/>
    <mergeCell ref="V44:V46"/>
    <mergeCell ref="U47:U49"/>
    <mergeCell ref="V47:V49"/>
    <mergeCell ref="D41:D49"/>
    <mergeCell ref="E41:G41"/>
    <mergeCell ref="H41:R41"/>
    <mergeCell ref="E47:P47"/>
    <mergeCell ref="AC32:AC37"/>
    <mergeCell ref="E33:G33"/>
    <mergeCell ref="H33:R33"/>
    <mergeCell ref="E34:G34"/>
    <mergeCell ref="H34:R34"/>
    <mergeCell ref="E35:P35"/>
    <mergeCell ref="U35:U37"/>
    <mergeCell ref="V35:V37"/>
    <mergeCell ref="U38:U40"/>
    <mergeCell ref="V38:V40"/>
    <mergeCell ref="D32:D40"/>
    <mergeCell ref="E32:G32"/>
    <mergeCell ref="H32:R32"/>
    <mergeCell ref="E38:P38"/>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72:R72"/>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DC73E-BE1E-7D16-269D-14086F812122}">
  <sheetPr>
    <tabColor theme="9" tint="-0.249977111117893"/>
  </sheetPr>
  <dimension ref="A1:AJ218"/>
  <sheetViews>
    <sheetView showGridLines="0" topLeftCell="D5" zoomScale="90" workbookViewId="0">
      <selection activeCell="N1" sqref="N1:N1048576"/>
    </sheetView>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6.140625" style="9" customWidth="1"/>
    <col min="7" max="7" width="10.42578125" style="9" customWidth="1"/>
    <col min="8" max="8" width="40.7109375" style="9" hidden="1" customWidth="1"/>
    <col min="9" max="14" width="40.7109375" style="9" customWidth="1"/>
    <col min="15" max="15" width="40.7109375" style="9" hidden="1" customWidth="1"/>
    <col min="16" max="16" width="9.7109375" style="60" customWidth="1"/>
    <col min="17" max="17" width="5.28515625" style="65" customWidth="1"/>
    <col min="18" max="18" width="3.7109375" style="65" customWidth="1"/>
    <col min="19" max="22" width="3.7109375" style="60" customWidth="1"/>
    <col min="23" max="23" width="10.5703125" style="65" customWidth="1"/>
    <col min="24" max="24" width="34.7109375" style="60" customWidth="1"/>
    <col min="25" max="25" width="9.42578125" style="60" customWidth="1"/>
    <col min="26" max="26" width="9.140625" style="319"/>
    <col min="27" max="31" width="9.140625" style="60"/>
    <col min="32" max="36" width="9.140625" style="6"/>
  </cols>
  <sheetData>
    <row r="1" spans="1:36" s="60" customFormat="1" ht="11.25" hidden="1" customHeight="1">
      <c r="A1" s="588"/>
      <c r="C1" s="65"/>
      <c r="H1" s="60">
        <v>4</v>
      </c>
      <c r="I1" s="60">
        <v>4</v>
      </c>
      <c r="J1" s="60">
        <v>4</v>
      </c>
      <c r="K1" s="60">
        <v>4</v>
      </c>
      <c r="L1" s="60">
        <v>4</v>
      </c>
      <c r="M1" s="60">
        <v>4</v>
      </c>
      <c r="N1" s="60">
        <v>4</v>
      </c>
      <c r="O1" s="60">
        <v>4</v>
      </c>
      <c r="Q1" s="65"/>
      <c r="R1" s="65"/>
      <c r="W1" s="65"/>
    </row>
    <row r="2" spans="1:36" s="60" customFormat="1" ht="22.5" hidden="1" customHeight="1">
      <c r="A2" s="588"/>
      <c r="C2" s="65"/>
      <c r="D2" s="315"/>
      <c r="E2" s="39"/>
      <c r="F2" s="316"/>
      <c r="G2" s="39" t="s">
        <v>1726</v>
      </c>
      <c r="H2" s="317"/>
      <c r="I2" s="317"/>
      <c r="J2" s="317"/>
      <c r="K2" s="317"/>
      <c r="L2" s="317"/>
      <c r="M2" s="317"/>
      <c r="N2" s="317"/>
      <c r="O2" s="317"/>
      <c r="P2" s="318"/>
      <c r="Q2" s="65"/>
      <c r="R2" s="65"/>
      <c r="W2" s="65"/>
      <c r="Z2" s="319"/>
      <c r="AF2" s="6"/>
      <c r="AG2" s="6"/>
      <c r="AH2" s="6"/>
      <c r="AI2" s="6"/>
      <c r="AJ2" s="6"/>
    </row>
    <row r="3" spans="1:36" ht="11.25" hidden="1" customHeight="1"/>
    <row r="4" spans="1:36" s="6" customFormat="1" ht="11.25" hidden="1" customHeight="1">
      <c r="A4" s="588"/>
      <c r="B4" s="60"/>
      <c r="C4" s="65"/>
      <c r="P4" s="60"/>
      <c r="Q4" s="65"/>
      <c r="R4" s="65"/>
      <c r="S4" s="60"/>
      <c r="T4" s="60"/>
      <c r="U4" s="60"/>
      <c r="V4" s="60"/>
      <c r="W4" s="65"/>
      <c r="X4" s="60"/>
      <c r="Y4" s="60"/>
      <c r="Z4" s="319"/>
      <c r="AA4" s="60"/>
      <c r="AB4" s="60"/>
      <c r="AC4" s="60"/>
      <c r="AD4" s="60"/>
      <c r="AE4" s="60"/>
    </row>
    <row r="6" spans="1:36" ht="24" customHeight="1">
      <c r="E6" s="1075" t="s">
        <v>1769</v>
      </c>
      <c r="F6" s="1076"/>
      <c r="G6" s="1076"/>
      <c r="H6" s="1076"/>
      <c r="I6" s="1077"/>
      <c r="J6" s="923"/>
      <c r="K6" s="923"/>
      <c r="L6" s="923"/>
      <c r="M6" s="923"/>
      <c r="N6" s="923"/>
      <c r="O6" s="923"/>
    </row>
    <row r="7" spans="1:36" ht="24" customHeight="1">
      <c r="E7" s="1191" t="str">
        <f>IF(org=0,"Не определено",org)</f>
        <v>ООО "Концессионная Коммунальная Компания"</v>
      </c>
      <c r="F7" s="1192"/>
      <c r="G7" s="1192"/>
      <c r="H7" s="1192"/>
      <c r="I7" s="1193"/>
      <c r="J7" s="1041"/>
      <c r="K7" s="1041"/>
      <c r="L7" s="1041"/>
      <c r="M7" s="1041"/>
      <c r="N7" s="1041"/>
      <c r="O7" s="1041"/>
    </row>
    <row r="8" spans="1:36" ht="11.25" customHeight="1">
      <c r="E8" s="681"/>
      <c r="F8" s="681"/>
      <c r="G8" s="681"/>
      <c r="H8" s="681"/>
      <c r="I8" s="681"/>
      <c r="J8" s="681"/>
      <c r="K8" s="681"/>
      <c r="L8" s="681"/>
      <c r="M8" s="681"/>
      <c r="N8" s="681"/>
      <c r="O8" s="681"/>
    </row>
    <row r="9" spans="1:36" s="65" customFormat="1" ht="0.75" customHeight="1">
      <c r="A9" s="323"/>
      <c r="H9" s="528"/>
      <c r="I9" s="528" t="s">
        <v>126</v>
      </c>
      <c r="J9" s="528" t="s">
        <v>133</v>
      </c>
      <c r="K9" s="528" t="s">
        <v>130</v>
      </c>
      <c r="L9" s="528" t="s">
        <v>131</v>
      </c>
      <c r="M9" s="528" t="s">
        <v>135</v>
      </c>
      <c r="N9" s="528" t="s">
        <v>136</v>
      </c>
      <c r="O9" s="528"/>
    </row>
    <row r="10" spans="1:36" ht="11.25" customHeight="1">
      <c r="E10" s="416"/>
      <c r="F10" s="1375" t="s">
        <v>115</v>
      </c>
      <c r="G10" s="1376"/>
      <c r="H10" s="889" t="str">
        <f t="shared" ref="H10:O10" si="0">IF(H9="","",INDEX(DIFFERENTIATION_UNMERGE_VD,MATCH(H9,DIFFERENTIATION_ID_DIFF,0)))</f>
        <v/>
      </c>
      <c r="I10" s="889" t="str">
        <f t="shared" si="0"/>
        <v>Холодное водоснабжение. Питьевая вода</v>
      </c>
      <c r="J10" s="889" t="str">
        <f t="shared" si="0"/>
        <v>Холодное водоснабжение. Техническая вода</v>
      </c>
      <c r="K10" s="889" t="str">
        <f t="shared" si="0"/>
        <v>Холодное водоснабжение. Питьевая вода</v>
      </c>
      <c r="L10" s="889" t="str">
        <f t="shared" si="0"/>
        <v>Холодное водоснабжение. Питьевая вода</v>
      </c>
      <c r="M10" s="889" t="str">
        <f t="shared" si="0"/>
        <v>Холодное водоснабжение. Техническая вода</v>
      </c>
      <c r="N10" s="889" t="str">
        <f t="shared" si="0"/>
        <v>Холодное водоснабжение. Техническая вода</v>
      </c>
      <c r="O10" s="889" t="str">
        <f t="shared" si="0"/>
        <v/>
      </c>
    </row>
    <row r="11" spans="1:36" ht="11.25" customHeight="1">
      <c r="E11" s="416"/>
      <c r="F11" s="1375" t="s">
        <v>427</v>
      </c>
      <c r="G11" s="1376"/>
      <c r="H11" s="889" t="str">
        <f t="shared" ref="H11:O11" si="1">IF(H9="","",INDEX(DIFFERENTIATION_UNMERGE_AREA,MATCH(H9,DIFFERENTIATION_ID_DIFF,0)))</f>
        <v/>
      </c>
      <c r="I11" s="889" t="str">
        <f t="shared" si="1"/>
        <v>Территория 1</v>
      </c>
      <c r="J11" s="889" t="str">
        <f t="shared" si="1"/>
        <v>Территория 1</v>
      </c>
      <c r="K11" s="889" t="str">
        <f t="shared" si="1"/>
        <v>Территория 2</v>
      </c>
      <c r="L11" s="889" t="str">
        <f t="shared" si="1"/>
        <v>Территория 3</v>
      </c>
      <c r="M11" s="889" t="str">
        <f t="shared" si="1"/>
        <v>Территория 2</v>
      </c>
      <c r="N11" s="889" t="str">
        <f t="shared" si="1"/>
        <v>Территория 3</v>
      </c>
      <c r="O11" s="889" t="str">
        <f t="shared" si="1"/>
        <v/>
      </c>
    </row>
    <row r="12" spans="1:36" ht="11.25" hidden="1" customHeight="1">
      <c r="E12" s="927"/>
      <c r="F12" s="1409" t="s">
        <v>428</v>
      </c>
      <c r="G12" s="1410"/>
      <c r="H12" s="928" t="str">
        <f t="shared" ref="H12:O12" si="2">IF(H9="","",INDEX(DIFFERENTIATION_UNMERGE_SYSTEM,MATCH(H9,DIFFERENTIATION_ID_DIFF,0)))</f>
        <v/>
      </c>
      <c r="I12" s="928" t="str">
        <f t="shared" si="2"/>
        <v>без дифференциации</v>
      </c>
      <c r="J12" s="928" t="str">
        <f t="shared" si="2"/>
        <v>без дифференциации</v>
      </c>
      <c r="K12" s="928" t="str">
        <f t="shared" si="2"/>
        <v>без дифференциации</v>
      </c>
      <c r="L12" s="928" t="str">
        <f t="shared" si="2"/>
        <v>без дифференциации</v>
      </c>
      <c r="M12" s="928" t="str">
        <f t="shared" si="2"/>
        <v>без дифференциации</v>
      </c>
      <c r="N12" s="928" t="str">
        <f t="shared" si="2"/>
        <v>без дифференциации</v>
      </c>
      <c r="O12" s="928" t="str">
        <f t="shared" si="2"/>
        <v/>
      </c>
    </row>
    <row r="13" spans="1:36" ht="11.25" customHeight="1">
      <c r="E13" s="1377" t="s">
        <v>302</v>
      </c>
      <c r="F13" s="1378"/>
      <c r="G13" s="1378"/>
      <c r="H13" s="526"/>
      <c r="I13" s="526"/>
      <c r="J13" s="526"/>
      <c r="K13" s="526"/>
      <c r="L13" s="526"/>
      <c r="M13" s="526"/>
      <c r="N13" s="526"/>
      <c r="O13" s="526"/>
    </row>
    <row r="14" spans="1:36" ht="22.5" customHeight="1">
      <c r="E14" s="39" t="s">
        <v>88</v>
      </c>
      <c r="F14" s="39" t="s">
        <v>304</v>
      </c>
      <c r="G14" s="39" t="s">
        <v>1623</v>
      </c>
      <c r="H14" s="39" t="s">
        <v>305</v>
      </c>
      <c r="I14" s="39" t="s">
        <v>305</v>
      </c>
      <c r="J14" s="39" t="s">
        <v>305</v>
      </c>
      <c r="K14" s="39" t="s">
        <v>305</v>
      </c>
      <c r="L14" s="39" t="s">
        <v>305</v>
      </c>
      <c r="M14" s="39" t="s">
        <v>305</v>
      </c>
      <c r="N14" s="39" t="s">
        <v>305</v>
      </c>
      <c r="O14" s="39" t="s">
        <v>305</v>
      </c>
    </row>
    <row r="15" spans="1:36" ht="18.75" customHeight="1">
      <c r="D15" s="53"/>
      <c r="E15" s="925" t="s">
        <v>119</v>
      </c>
      <c r="F15" s="150" t="s">
        <v>1770</v>
      </c>
      <c r="G15" s="39" t="s">
        <v>1726</v>
      </c>
      <c r="H15" s="331"/>
      <c r="I15" s="331"/>
      <c r="J15" s="331"/>
      <c r="K15" s="331"/>
      <c r="L15" s="331"/>
      <c r="M15" s="331"/>
      <c r="N15" s="331"/>
      <c r="O15" s="331"/>
      <c r="P15" s="318" t="s">
        <v>1771</v>
      </c>
    </row>
    <row r="16" spans="1:36" ht="33.75" customHeight="1">
      <c r="D16" s="53"/>
      <c r="E16" s="925" t="s">
        <v>103</v>
      </c>
      <c r="F16" s="150" t="s">
        <v>1772</v>
      </c>
      <c r="G16" s="39" t="s">
        <v>1726</v>
      </c>
      <c r="H16" s="332">
        <f t="shared" ref="H16:O16" si="3">SUM(H17,H20:H32)</f>
        <v>0</v>
      </c>
      <c r="I16" s="332">
        <f t="shared" si="3"/>
        <v>0</v>
      </c>
      <c r="J16" s="332">
        <f t="shared" si="3"/>
        <v>0</v>
      </c>
      <c r="K16" s="332">
        <f t="shared" si="3"/>
        <v>0</v>
      </c>
      <c r="L16" s="332">
        <f t="shared" si="3"/>
        <v>0</v>
      </c>
      <c r="M16" s="332">
        <f t="shared" si="3"/>
        <v>0</v>
      </c>
      <c r="N16" s="332">
        <f t="shared" si="3"/>
        <v>0</v>
      </c>
      <c r="O16" s="332">
        <f t="shared" si="3"/>
        <v>0</v>
      </c>
      <c r="P16" s="318" t="s">
        <v>1771</v>
      </c>
    </row>
    <row r="17" spans="1:36" ht="18.75" customHeight="1">
      <c r="D17" s="53"/>
      <c r="E17" s="929" t="s">
        <v>465</v>
      </c>
      <c r="F17" s="333" t="s">
        <v>1773</v>
      </c>
      <c r="G17" s="403" t="s">
        <v>1726</v>
      </c>
      <c r="H17" s="331"/>
      <c r="I17" s="331"/>
      <c r="J17" s="331"/>
      <c r="K17" s="331"/>
      <c r="L17" s="331"/>
      <c r="M17" s="331"/>
      <c r="N17" s="331"/>
      <c r="O17" s="331"/>
      <c r="P17" s="318"/>
    </row>
    <row r="18" spans="1:36" ht="22.5" customHeight="1">
      <c r="D18" s="53"/>
      <c r="E18" s="929" t="s">
        <v>467</v>
      </c>
      <c r="F18" s="347" t="s">
        <v>1774</v>
      </c>
      <c r="G18" s="403" t="s">
        <v>1726</v>
      </c>
      <c r="H18" s="331"/>
      <c r="I18" s="331"/>
      <c r="J18" s="331"/>
      <c r="K18" s="331"/>
      <c r="L18" s="331"/>
      <c r="M18" s="331"/>
      <c r="N18" s="331"/>
      <c r="O18" s="331"/>
      <c r="P18" s="318"/>
    </row>
    <row r="19" spans="1:36" ht="33.75" customHeight="1">
      <c r="D19" s="53"/>
      <c r="E19" s="929" t="s">
        <v>1775</v>
      </c>
      <c r="F19" s="347" t="s">
        <v>1776</v>
      </c>
      <c r="G19" s="403" t="s">
        <v>1726</v>
      </c>
      <c r="H19" s="331"/>
      <c r="I19" s="331"/>
      <c r="J19" s="331"/>
      <c r="K19" s="331"/>
      <c r="L19" s="331"/>
      <c r="M19" s="331"/>
      <c r="N19" s="331"/>
      <c r="O19" s="331"/>
      <c r="P19" s="318"/>
    </row>
    <row r="20" spans="1:36" ht="18.75" customHeight="1">
      <c r="D20" s="53"/>
      <c r="E20" s="929" t="s">
        <v>309</v>
      </c>
      <c r="F20" s="333" t="s">
        <v>1777</v>
      </c>
      <c r="G20" s="403" t="s">
        <v>1726</v>
      </c>
      <c r="H20" s="331"/>
      <c r="I20" s="331"/>
      <c r="J20" s="331"/>
      <c r="K20" s="331"/>
      <c r="L20" s="331"/>
      <c r="M20" s="331"/>
      <c r="N20" s="331"/>
      <c r="O20" s="331"/>
      <c r="P20" s="318"/>
    </row>
    <row r="21" spans="1:36" ht="18.75" customHeight="1">
      <c r="D21" s="53"/>
      <c r="E21" s="929" t="s">
        <v>1380</v>
      </c>
      <c r="F21" s="347" t="s">
        <v>1778</v>
      </c>
      <c r="G21" s="403" t="s">
        <v>1726</v>
      </c>
      <c r="H21" s="331"/>
      <c r="I21" s="331"/>
      <c r="J21" s="331"/>
      <c r="K21" s="331"/>
      <c r="L21" s="331"/>
      <c r="M21" s="331"/>
      <c r="N21" s="331"/>
      <c r="O21" s="331"/>
      <c r="P21" s="318"/>
    </row>
    <row r="22" spans="1:36" ht="18.75" customHeight="1">
      <c r="D22" s="53"/>
      <c r="E22" s="929" t="s">
        <v>1385</v>
      </c>
      <c r="F22" s="347" t="s">
        <v>1779</v>
      </c>
      <c r="G22" s="403" t="s">
        <v>1726</v>
      </c>
      <c r="H22" s="331"/>
      <c r="I22" s="331"/>
      <c r="J22" s="331"/>
      <c r="K22" s="331"/>
      <c r="L22" s="331"/>
      <c r="M22" s="331"/>
      <c r="N22" s="331"/>
      <c r="O22" s="331"/>
      <c r="P22" s="318"/>
    </row>
    <row r="23" spans="1:36" ht="22.5" customHeight="1">
      <c r="D23" s="53"/>
      <c r="E23" s="929" t="s">
        <v>312</v>
      </c>
      <c r="F23" s="333" t="s">
        <v>1780</v>
      </c>
      <c r="G23" s="403" t="s">
        <v>1726</v>
      </c>
      <c r="H23" s="331"/>
      <c r="I23" s="331"/>
      <c r="J23" s="331"/>
      <c r="K23" s="331"/>
      <c r="L23" s="331"/>
      <c r="M23" s="331"/>
      <c r="N23" s="331"/>
      <c r="O23" s="331"/>
      <c r="P23" s="318"/>
    </row>
    <row r="24" spans="1:36" ht="18.75" customHeight="1">
      <c r="D24" s="53"/>
      <c r="E24" s="929" t="s">
        <v>1379</v>
      </c>
      <c r="F24" s="347" t="s">
        <v>1781</v>
      </c>
      <c r="G24" s="403" t="s">
        <v>1726</v>
      </c>
      <c r="H24" s="331"/>
      <c r="I24" s="331"/>
      <c r="J24" s="331"/>
      <c r="K24" s="331"/>
      <c r="L24" s="331"/>
      <c r="M24" s="331"/>
      <c r="N24" s="331"/>
      <c r="O24" s="331"/>
      <c r="P24" s="318"/>
    </row>
    <row r="25" spans="1:36" ht="33.75" customHeight="1">
      <c r="D25" s="53"/>
      <c r="E25" s="929" t="s">
        <v>1384</v>
      </c>
      <c r="F25" s="347" t="s">
        <v>1782</v>
      </c>
      <c r="G25" s="403" t="s">
        <v>1726</v>
      </c>
      <c r="H25" s="331"/>
      <c r="I25" s="331"/>
      <c r="J25" s="331"/>
      <c r="K25" s="331"/>
      <c r="L25" s="331"/>
      <c r="M25" s="331"/>
      <c r="N25" s="331"/>
      <c r="O25" s="331"/>
      <c r="P25" s="318"/>
    </row>
    <row r="26" spans="1:36" ht="22.5" customHeight="1">
      <c r="D26" s="53"/>
      <c r="E26" s="929" t="s">
        <v>1374</v>
      </c>
      <c r="F26" s="333" t="s">
        <v>1783</v>
      </c>
      <c r="G26" s="403" t="s">
        <v>1726</v>
      </c>
      <c r="H26" s="331"/>
      <c r="I26" s="331"/>
      <c r="J26" s="331"/>
      <c r="K26" s="331"/>
      <c r="L26" s="331"/>
      <c r="M26" s="331"/>
      <c r="N26" s="331"/>
      <c r="O26" s="331"/>
      <c r="P26" s="318"/>
    </row>
    <row r="27" spans="1:36" ht="18.75" customHeight="1">
      <c r="D27" s="53"/>
      <c r="E27" s="931" t="s">
        <v>1395</v>
      </c>
      <c r="F27" s="347" t="s">
        <v>1784</v>
      </c>
      <c r="G27" s="403" t="s">
        <v>1726</v>
      </c>
      <c r="H27" s="932"/>
      <c r="I27" s="932"/>
      <c r="J27" s="932"/>
      <c r="K27" s="932"/>
      <c r="L27" s="932"/>
      <c r="M27" s="932"/>
      <c r="N27" s="932"/>
      <c r="O27" s="932"/>
      <c r="P27" s="318"/>
    </row>
    <row r="28" spans="1:36" ht="18.75" customHeight="1">
      <c r="D28" s="53"/>
      <c r="E28" s="931" t="s">
        <v>1399</v>
      </c>
      <c r="F28" s="347" t="s">
        <v>1785</v>
      </c>
      <c r="G28" s="403" t="s">
        <v>1726</v>
      </c>
      <c r="H28" s="932"/>
      <c r="I28" s="932"/>
      <c r="J28" s="932"/>
      <c r="K28" s="932"/>
      <c r="L28" s="932"/>
      <c r="M28" s="932"/>
      <c r="N28" s="932"/>
      <c r="O28" s="932"/>
      <c r="P28" s="318"/>
    </row>
    <row r="29" spans="1:36" ht="18.75" customHeight="1">
      <c r="D29" s="53"/>
      <c r="E29" s="931" t="s">
        <v>1376</v>
      </c>
      <c r="F29" s="333" t="s">
        <v>1786</v>
      </c>
      <c r="G29" s="403" t="s">
        <v>1726</v>
      </c>
      <c r="H29" s="932"/>
      <c r="I29" s="932"/>
      <c r="J29" s="932"/>
      <c r="K29" s="932"/>
      <c r="L29" s="932"/>
      <c r="M29" s="932"/>
      <c r="N29" s="932"/>
      <c r="O29" s="932"/>
      <c r="P29" s="318"/>
    </row>
    <row r="30" spans="1:36" ht="18.75" customHeight="1">
      <c r="D30" s="53"/>
      <c r="E30" s="931" t="s">
        <v>1390</v>
      </c>
      <c r="F30" s="333" t="s">
        <v>1787</v>
      </c>
      <c r="G30" s="403" t="s">
        <v>1726</v>
      </c>
      <c r="H30" s="932"/>
      <c r="I30" s="932"/>
      <c r="J30" s="932"/>
      <c r="K30" s="932"/>
      <c r="L30" s="932"/>
      <c r="M30" s="932"/>
      <c r="N30" s="932"/>
      <c r="O30" s="932"/>
      <c r="P30" s="318"/>
    </row>
    <row r="31" spans="1:36" ht="18.75" customHeight="1">
      <c r="D31" s="53"/>
      <c r="E31" s="931" t="s">
        <v>1401</v>
      </c>
      <c r="F31" s="333" t="s">
        <v>1788</v>
      </c>
      <c r="G31" s="403" t="s">
        <v>1726</v>
      </c>
      <c r="H31" s="932"/>
      <c r="I31" s="932"/>
      <c r="J31" s="932"/>
      <c r="K31" s="932"/>
      <c r="L31" s="932"/>
      <c r="M31" s="932"/>
      <c r="N31" s="932"/>
      <c r="O31" s="932"/>
      <c r="P31" s="318"/>
    </row>
    <row r="32" spans="1:36" s="60" customFormat="1" ht="22.5" customHeight="1">
      <c r="A32" s="588"/>
      <c r="C32" s="65"/>
      <c r="D32" s="53"/>
      <c r="E32" s="931" t="s">
        <v>1412</v>
      </c>
      <c r="F32" s="333" t="s">
        <v>1789</v>
      </c>
      <c r="G32" s="349" t="s">
        <v>1726</v>
      </c>
      <c r="H32" s="350">
        <f t="shared" ref="H32:O32" si="4">SUM(H33:H34)</f>
        <v>0</v>
      </c>
      <c r="I32" s="350">
        <f t="shared" si="4"/>
        <v>0</v>
      </c>
      <c r="J32" s="350">
        <f t="shared" si="4"/>
        <v>0</v>
      </c>
      <c r="K32" s="350">
        <f t="shared" si="4"/>
        <v>0</v>
      </c>
      <c r="L32" s="350">
        <f t="shared" si="4"/>
        <v>0</v>
      </c>
      <c r="M32" s="350">
        <f t="shared" si="4"/>
        <v>0</v>
      </c>
      <c r="N32" s="350">
        <f t="shared" si="4"/>
        <v>0</v>
      </c>
      <c r="O32" s="350">
        <f t="shared" si="4"/>
        <v>0</v>
      </c>
      <c r="P32" s="318"/>
      <c r="Q32" s="65"/>
      <c r="R32" s="65"/>
      <c r="W32" s="65"/>
      <c r="Z32" s="319"/>
      <c r="AF32" s="6"/>
      <c r="AG32" s="6"/>
      <c r="AH32" s="6"/>
      <c r="AI32" s="6"/>
      <c r="AJ32" s="6"/>
    </row>
    <row r="33" spans="1:36" s="65" customFormat="1" ht="0.75" customHeight="1">
      <c r="A33" s="323"/>
      <c r="D33" s="323"/>
      <c r="E33" s="326" t="str">
        <f>E32&amp;".0"</f>
        <v>2.8.0</v>
      </c>
      <c r="F33" s="592"/>
      <c r="G33" s="326"/>
      <c r="H33" s="593"/>
      <c r="I33" s="593"/>
      <c r="J33" s="593"/>
      <c r="K33" s="593"/>
      <c r="L33" s="593"/>
      <c r="M33" s="593"/>
      <c r="N33" s="593"/>
      <c r="O33" s="593"/>
    </row>
    <row r="34" spans="1:36" s="60" customFormat="1" ht="18.75" customHeight="1">
      <c r="A34" s="588"/>
      <c r="C34" s="65"/>
      <c r="D34" s="74"/>
      <c r="E34" s="342"/>
      <c r="F34" s="930" t="s">
        <v>1739</v>
      </c>
      <c r="G34" s="343"/>
      <c r="H34" s="344"/>
      <c r="I34" s="344"/>
      <c r="J34" s="344"/>
      <c r="K34" s="344"/>
      <c r="L34" s="344"/>
      <c r="M34" s="344"/>
      <c r="N34" s="344"/>
      <c r="O34" s="344"/>
      <c r="P34" s="318"/>
      <c r="Q34" s="65"/>
      <c r="R34" s="65"/>
      <c r="W34" s="65"/>
      <c r="Z34" s="319"/>
      <c r="AF34" s="6"/>
      <c r="AG34" s="6"/>
      <c r="AH34" s="6"/>
      <c r="AI34" s="6"/>
      <c r="AJ34" s="6"/>
    </row>
    <row r="35" spans="1:36" ht="56.25" customHeight="1">
      <c r="D35" s="53"/>
      <c r="E35" s="931" t="s">
        <v>1420</v>
      </c>
      <c r="F35" s="333" t="s">
        <v>1790</v>
      </c>
      <c r="G35" s="403" t="s">
        <v>1726</v>
      </c>
      <c r="H35" s="932"/>
      <c r="I35" s="932"/>
      <c r="J35" s="932"/>
      <c r="K35" s="932"/>
      <c r="L35" s="932"/>
      <c r="M35" s="932"/>
      <c r="N35" s="932"/>
      <c r="O35" s="932"/>
      <c r="P35" s="318"/>
    </row>
    <row r="36" spans="1:36" s="60" customFormat="1" ht="22.5" customHeight="1">
      <c r="A36" s="590" t="s">
        <v>1740</v>
      </c>
      <c r="C36" s="65"/>
      <c r="D36" s="53"/>
      <c r="E36" s="929" t="s">
        <v>90</v>
      </c>
      <c r="F36" s="150" t="s">
        <v>1791</v>
      </c>
      <c r="G36" s="403" t="s">
        <v>1726</v>
      </c>
      <c r="H36" s="331"/>
      <c r="I36" s="331"/>
      <c r="J36" s="331"/>
      <c r="K36" s="331"/>
      <c r="L36" s="331"/>
      <c r="M36" s="331"/>
      <c r="N36" s="331"/>
      <c r="O36" s="331"/>
      <c r="P36" s="318"/>
      <c r="Q36" s="65"/>
      <c r="R36" s="65"/>
      <c r="W36" s="65"/>
      <c r="Z36" s="319"/>
      <c r="AF36" s="6"/>
      <c r="AG36" s="6"/>
      <c r="AH36" s="6"/>
      <c r="AI36" s="6"/>
      <c r="AJ36" s="6"/>
    </row>
    <row r="37" spans="1:36" s="60" customFormat="1" ht="22.5" customHeight="1">
      <c r="A37" s="590"/>
      <c r="C37" s="65"/>
      <c r="D37" s="53"/>
      <c r="E37" s="929" t="s">
        <v>328</v>
      </c>
      <c r="F37" s="333" t="s">
        <v>1792</v>
      </c>
      <c r="G37" s="403"/>
      <c r="H37" s="331"/>
      <c r="I37" s="331"/>
      <c r="J37" s="331"/>
      <c r="K37" s="331"/>
      <c r="L37" s="331"/>
      <c r="M37" s="331"/>
      <c r="N37" s="331"/>
      <c r="O37" s="331"/>
      <c r="P37" s="318"/>
      <c r="Q37" s="65"/>
      <c r="R37" s="65"/>
      <c r="W37" s="65"/>
      <c r="Z37" s="319"/>
      <c r="AF37" s="6"/>
      <c r="AG37" s="6"/>
      <c r="AH37" s="6"/>
      <c r="AI37" s="6"/>
      <c r="AJ37" s="6"/>
    </row>
    <row r="38" spans="1:36" s="60" customFormat="1" ht="18.75" customHeight="1">
      <c r="A38" s="588"/>
      <c r="C38" s="65"/>
      <c r="D38" s="346"/>
      <c r="E38" s="929" t="s">
        <v>91</v>
      </c>
      <c r="F38" s="150" t="s">
        <v>1475</v>
      </c>
      <c r="G38" s="403" t="s">
        <v>1726</v>
      </c>
      <c r="H38" s="331"/>
      <c r="I38" s="331"/>
      <c r="J38" s="331"/>
      <c r="K38" s="331"/>
      <c r="L38" s="331"/>
      <c r="M38" s="331"/>
      <c r="N38" s="331"/>
      <c r="O38" s="331"/>
      <c r="P38" s="318"/>
      <c r="Q38" s="65"/>
      <c r="R38" s="65"/>
      <c r="W38" s="65"/>
      <c r="Z38" s="319"/>
      <c r="AF38" s="6"/>
      <c r="AG38" s="6"/>
      <c r="AH38" s="6"/>
      <c r="AI38" s="6"/>
      <c r="AJ38" s="6"/>
    </row>
    <row r="39" spans="1:36" s="60" customFormat="1" ht="22.5" customHeight="1">
      <c r="A39" s="588"/>
      <c r="C39" s="65"/>
      <c r="D39" s="346"/>
      <c r="E39" s="929" t="s">
        <v>1473</v>
      </c>
      <c r="F39" s="333" t="s">
        <v>1793</v>
      </c>
      <c r="G39" s="403" t="s">
        <v>1726</v>
      </c>
      <c r="H39" s="331"/>
      <c r="I39" s="331"/>
      <c r="J39" s="331"/>
      <c r="K39" s="331"/>
      <c r="L39" s="331"/>
      <c r="M39" s="331"/>
      <c r="N39" s="331"/>
      <c r="O39" s="331"/>
      <c r="P39" s="318"/>
      <c r="Q39" s="65"/>
      <c r="R39" s="65"/>
      <c r="W39" s="65"/>
      <c r="Z39" s="319"/>
      <c r="AF39" s="6"/>
      <c r="AG39" s="6"/>
      <c r="AH39" s="6"/>
      <c r="AI39" s="6"/>
      <c r="AJ39" s="6"/>
    </row>
    <row r="40" spans="1:36" s="60" customFormat="1" ht="22.5" customHeight="1">
      <c r="A40" s="588"/>
      <c r="C40" s="65"/>
      <c r="D40" s="53"/>
      <c r="E40" s="929" t="s">
        <v>1481</v>
      </c>
      <c r="F40" s="347" t="s">
        <v>1794</v>
      </c>
      <c r="G40" s="403" t="s">
        <v>1726</v>
      </c>
      <c r="H40" s="331"/>
      <c r="I40" s="331"/>
      <c r="J40" s="331"/>
      <c r="K40" s="331"/>
      <c r="L40" s="331"/>
      <c r="M40" s="331"/>
      <c r="N40" s="331"/>
      <c r="O40" s="331"/>
      <c r="P40" s="318"/>
      <c r="Q40" s="65"/>
      <c r="R40" s="65"/>
      <c r="W40" s="65"/>
      <c r="Z40" s="319"/>
      <c r="AF40" s="6"/>
      <c r="AG40" s="6"/>
      <c r="AH40" s="6"/>
      <c r="AI40" s="6"/>
      <c r="AJ40" s="6"/>
    </row>
    <row r="41" spans="1:36" s="60" customFormat="1" ht="22.5" customHeight="1">
      <c r="A41" s="588"/>
      <c r="C41" s="65"/>
      <c r="D41" s="53"/>
      <c r="E41" s="929" t="s">
        <v>1486</v>
      </c>
      <c r="F41" s="347" t="s">
        <v>1795</v>
      </c>
      <c r="G41" s="403" t="s">
        <v>1726</v>
      </c>
      <c r="H41" s="331"/>
      <c r="I41" s="331"/>
      <c r="J41" s="331"/>
      <c r="K41" s="331"/>
      <c r="L41" s="331"/>
      <c r="M41" s="331"/>
      <c r="N41" s="331"/>
      <c r="O41" s="331"/>
      <c r="P41" s="318"/>
      <c r="Q41" s="65"/>
      <c r="R41" s="65"/>
      <c r="W41" s="65"/>
      <c r="Z41" s="319"/>
      <c r="AF41" s="6"/>
      <c r="AG41" s="6"/>
      <c r="AH41" s="6"/>
      <c r="AI41" s="6"/>
      <c r="AJ41" s="6"/>
    </row>
    <row r="42" spans="1:36" s="60" customFormat="1" ht="22.5" customHeight="1">
      <c r="A42" s="588"/>
      <c r="C42" s="65"/>
      <c r="D42" s="53"/>
      <c r="E42" s="929" t="s">
        <v>1796</v>
      </c>
      <c r="F42" s="347" t="s">
        <v>1797</v>
      </c>
      <c r="G42" s="403" t="s">
        <v>1726</v>
      </c>
      <c r="H42" s="331"/>
      <c r="I42" s="331"/>
      <c r="J42" s="331"/>
      <c r="K42" s="331"/>
      <c r="L42" s="331"/>
      <c r="M42" s="331"/>
      <c r="N42" s="331"/>
      <c r="O42" s="331"/>
      <c r="P42" s="318"/>
      <c r="Q42" s="65"/>
      <c r="R42" s="65"/>
      <c r="W42" s="65"/>
      <c r="Z42" s="319"/>
      <c r="AF42" s="6"/>
      <c r="AG42" s="6"/>
      <c r="AH42" s="6"/>
      <c r="AI42" s="6"/>
      <c r="AJ42" s="6"/>
    </row>
    <row r="43" spans="1:36" s="60" customFormat="1" ht="33.75" customHeight="1">
      <c r="A43" s="588"/>
      <c r="C43" s="65" t="s">
        <v>1747</v>
      </c>
      <c r="D43" s="53"/>
      <c r="E43" s="929" t="s">
        <v>120</v>
      </c>
      <c r="F43" s="150" t="s">
        <v>1496</v>
      </c>
      <c r="G43" s="39" t="s">
        <v>1798</v>
      </c>
      <c r="H43" s="241"/>
      <c r="I43" s="241"/>
      <c r="J43" s="241"/>
      <c r="K43" s="241"/>
      <c r="L43" s="241"/>
      <c r="M43" s="241"/>
      <c r="N43" s="241"/>
      <c r="O43" s="241"/>
      <c r="P43" s="318"/>
      <c r="Q43" s="65"/>
      <c r="R43" s="65"/>
      <c r="W43" s="65"/>
      <c r="Z43" s="319"/>
      <c r="AF43" s="6"/>
      <c r="AG43" s="6"/>
      <c r="AH43" s="6"/>
      <c r="AI43" s="6"/>
      <c r="AJ43" s="6"/>
    </row>
    <row r="44" spans="1:36" s="60" customFormat="1" ht="22.5" customHeight="1">
      <c r="A44" s="588"/>
      <c r="C44" s="65"/>
      <c r="D44" s="53"/>
      <c r="E44" s="929" t="s">
        <v>92</v>
      </c>
      <c r="F44" s="150" t="s">
        <v>1799</v>
      </c>
      <c r="G44" s="403" t="s">
        <v>1800</v>
      </c>
      <c r="H44" s="320"/>
      <c r="I44" s="320"/>
      <c r="J44" s="320"/>
      <c r="K44" s="320"/>
      <c r="L44" s="320"/>
      <c r="M44" s="320"/>
      <c r="N44" s="320"/>
      <c r="O44" s="320"/>
      <c r="P44" s="318"/>
      <c r="Q44" s="65"/>
      <c r="R44" s="65"/>
      <c r="W44" s="65"/>
      <c r="Z44" s="319"/>
      <c r="AF44" s="6"/>
      <c r="AG44" s="6"/>
      <c r="AH44" s="6"/>
      <c r="AI44" s="6"/>
      <c r="AJ44" s="6"/>
    </row>
    <row r="45" spans="1:36" s="60" customFormat="1" ht="22.5" customHeight="1">
      <c r="A45" s="588"/>
      <c r="C45" s="65"/>
      <c r="D45" s="53"/>
      <c r="E45" s="929" t="s">
        <v>93</v>
      </c>
      <c r="F45" s="150" t="s">
        <v>1801</v>
      </c>
      <c r="G45" s="403" t="s">
        <v>1802</v>
      </c>
      <c r="H45" s="320"/>
      <c r="I45" s="320"/>
      <c r="J45" s="320"/>
      <c r="K45" s="320"/>
      <c r="L45" s="320"/>
      <c r="M45" s="320"/>
      <c r="N45" s="320"/>
      <c r="O45" s="320"/>
      <c r="P45" s="318"/>
      <c r="Q45" s="65"/>
      <c r="R45" s="65"/>
      <c r="W45" s="65"/>
      <c r="Z45" s="319"/>
      <c r="AF45" s="6"/>
      <c r="AG45" s="6"/>
      <c r="AH45" s="6"/>
      <c r="AI45" s="6"/>
      <c r="AJ45" s="6"/>
    </row>
    <row r="46" spans="1:36" s="60" customFormat="1" ht="18.75" customHeight="1">
      <c r="A46" s="588"/>
      <c r="C46" s="65"/>
      <c r="D46" s="53"/>
      <c r="E46" s="929" t="s">
        <v>121</v>
      </c>
      <c r="F46" s="150" t="s">
        <v>1803</v>
      </c>
      <c r="G46" s="403" t="s">
        <v>1749</v>
      </c>
      <c r="H46" s="348"/>
      <c r="I46" s="348"/>
      <c r="J46" s="348"/>
      <c r="K46" s="348"/>
      <c r="L46" s="348"/>
      <c r="M46" s="348"/>
      <c r="N46" s="348"/>
      <c r="O46" s="348"/>
      <c r="P46" s="318"/>
      <c r="Q46" s="65"/>
      <c r="R46" s="65"/>
      <c r="W46" s="65"/>
      <c r="Z46" s="319"/>
      <c r="AF46" s="6"/>
      <c r="AG46" s="6"/>
      <c r="AH46" s="6"/>
      <c r="AI46" s="6"/>
      <c r="AJ46" s="6"/>
    </row>
    <row r="47" spans="1:36" ht="11.25" customHeight="1">
      <c r="D47" s="53"/>
    </row>
    <row r="48" spans="1:36" ht="26.25" customHeight="1">
      <c r="D48" s="53"/>
      <c r="E48" s="204"/>
      <c r="F48" s="1286"/>
      <c r="G48" s="1286"/>
      <c r="H48" s="1286"/>
      <c r="I48" s="1286"/>
      <c r="J48" s="1286"/>
      <c r="K48" s="1286"/>
      <c r="L48" s="1286"/>
      <c r="M48" s="1286"/>
      <c r="N48" s="1286"/>
      <c r="O48" s="1286"/>
    </row>
    <row r="49" spans="1:36" s="209" customFormat="1" ht="37.5" customHeight="1">
      <c r="A49" s="588"/>
      <c r="B49" s="65"/>
      <c r="C49" s="65"/>
      <c r="F49" s="1286"/>
      <c r="G49" s="1286"/>
      <c r="H49" s="1286"/>
      <c r="I49" s="1286"/>
      <c r="J49" s="1286"/>
      <c r="K49" s="1286"/>
      <c r="L49" s="1286"/>
      <c r="M49" s="1286"/>
      <c r="N49" s="1286"/>
      <c r="O49" s="1286"/>
      <c r="P49" s="60"/>
      <c r="Q49" s="65"/>
      <c r="R49" s="65"/>
      <c r="S49" s="60"/>
      <c r="T49" s="60"/>
      <c r="U49" s="60"/>
      <c r="V49" s="60"/>
      <c r="W49" s="65"/>
      <c r="X49" s="60"/>
      <c r="Y49" s="60"/>
      <c r="Z49" s="319"/>
      <c r="AA49" s="60"/>
      <c r="AB49" s="60"/>
      <c r="AC49" s="60"/>
      <c r="AD49" s="60"/>
      <c r="AE49" s="60"/>
      <c r="AF49" s="6"/>
      <c r="AG49" s="139"/>
      <c r="AH49" s="139"/>
      <c r="AI49" s="139"/>
      <c r="AJ49" s="139"/>
    </row>
    <row r="50" spans="1:36" s="209" customFormat="1" ht="11.25" customHeight="1">
      <c r="A50" s="588"/>
      <c r="B50" s="65"/>
      <c r="C50" s="65"/>
      <c r="P50" s="60"/>
      <c r="Q50" s="65"/>
      <c r="R50" s="65"/>
      <c r="S50" s="60"/>
      <c r="T50" s="60"/>
      <c r="U50" s="60"/>
      <c r="V50" s="60"/>
      <c r="W50" s="65"/>
      <c r="X50" s="60"/>
      <c r="Y50" s="60"/>
      <c r="Z50" s="319"/>
      <c r="AA50" s="60"/>
      <c r="AB50" s="60"/>
      <c r="AC50" s="60"/>
      <c r="AD50" s="60"/>
      <c r="AE50" s="60"/>
      <c r="AF50" s="6"/>
      <c r="AG50" s="139"/>
      <c r="AH50" s="139"/>
      <c r="AI50" s="139"/>
      <c r="AJ50" s="139"/>
    </row>
    <row r="51" spans="1:36" s="209" customFormat="1" ht="11.25" customHeight="1">
      <c r="A51" s="588"/>
      <c r="B51" s="65"/>
      <c r="C51" s="65"/>
      <c r="P51" s="60"/>
      <c r="Q51" s="65"/>
      <c r="R51" s="65"/>
      <c r="S51" s="60"/>
      <c r="T51" s="60"/>
      <c r="U51" s="60"/>
      <c r="V51" s="60"/>
      <c r="W51" s="65"/>
      <c r="X51" s="60"/>
      <c r="Y51" s="60"/>
      <c r="Z51" s="319"/>
      <c r="AA51" s="60"/>
      <c r="AB51" s="60"/>
      <c r="AC51" s="60"/>
      <c r="AD51" s="60"/>
      <c r="AE51" s="60"/>
      <c r="AF51" s="6"/>
      <c r="AG51" s="139"/>
      <c r="AH51" s="139"/>
      <c r="AI51" s="139"/>
      <c r="AJ51" s="139"/>
    </row>
    <row r="52" spans="1:36" s="209" customFormat="1" ht="11.25" customHeight="1">
      <c r="A52" s="588"/>
      <c r="B52" s="65"/>
      <c r="C52" s="65"/>
      <c r="H52" s="139"/>
      <c r="I52" s="139"/>
      <c r="J52" s="139"/>
      <c r="K52" s="139"/>
      <c r="L52" s="139"/>
      <c r="M52" s="139"/>
      <c r="N52" s="139"/>
      <c r="O52" s="139"/>
      <c r="P52" s="60"/>
      <c r="Q52" s="65"/>
      <c r="R52" s="65"/>
      <c r="S52" s="60"/>
      <c r="T52" s="60"/>
      <c r="U52" s="60"/>
      <c r="V52" s="60"/>
      <c r="W52" s="65"/>
      <c r="X52" s="60"/>
      <c r="Y52" s="60"/>
      <c r="Z52" s="319"/>
      <c r="AA52" s="60"/>
      <c r="AB52" s="60"/>
      <c r="AC52" s="60"/>
      <c r="AD52" s="60"/>
      <c r="AE52" s="60"/>
      <c r="AF52" s="6"/>
      <c r="AG52" s="139"/>
      <c r="AH52" s="139"/>
      <c r="AI52" s="139"/>
      <c r="AJ52" s="139"/>
    </row>
    <row r="53" spans="1:36" s="209" customFormat="1" ht="11.25" customHeight="1">
      <c r="A53" s="588"/>
      <c r="B53" s="65"/>
      <c r="C53" s="65"/>
      <c r="P53" s="60"/>
      <c r="Q53" s="65"/>
      <c r="R53" s="65"/>
      <c r="S53" s="60"/>
      <c r="T53" s="60"/>
      <c r="U53" s="60"/>
      <c r="V53" s="60"/>
      <c r="W53" s="65"/>
      <c r="X53" s="60"/>
      <c r="Y53" s="60"/>
      <c r="Z53" s="319"/>
      <c r="AA53" s="60"/>
      <c r="AB53" s="60"/>
      <c r="AC53" s="60"/>
      <c r="AD53" s="60"/>
      <c r="AE53" s="60"/>
      <c r="AF53" s="6"/>
      <c r="AG53" s="139"/>
      <c r="AH53" s="139"/>
      <c r="AI53" s="139"/>
      <c r="AJ53" s="139"/>
    </row>
    <row r="54" spans="1:36" s="209" customFormat="1" ht="11.25" customHeight="1">
      <c r="A54" s="588"/>
      <c r="B54" s="65"/>
      <c r="C54" s="65"/>
      <c r="P54" s="60"/>
      <c r="Q54" s="65"/>
      <c r="R54" s="65"/>
      <c r="S54" s="60"/>
      <c r="T54" s="60"/>
      <c r="U54" s="60"/>
      <c r="V54" s="60"/>
      <c r="W54" s="65"/>
      <c r="X54" s="60"/>
      <c r="Y54" s="60"/>
      <c r="Z54" s="319"/>
      <c r="AA54" s="60"/>
      <c r="AB54" s="60"/>
      <c r="AC54" s="60"/>
      <c r="AD54" s="60"/>
      <c r="AE54" s="60"/>
      <c r="AF54" s="6"/>
      <c r="AG54" s="139"/>
      <c r="AH54" s="139"/>
      <c r="AI54" s="139"/>
      <c r="AJ54" s="139"/>
    </row>
    <row r="55" spans="1:36" s="209" customFormat="1" ht="11.25" customHeight="1">
      <c r="A55" s="588"/>
      <c r="B55" s="65"/>
      <c r="C55" s="65"/>
      <c r="P55" s="60"/>
      <c r="Q55" s="65"/>
      <c r="R55" s="65"/>
      <c r="S55" s="60"/>
      <c r="T55" s="60"/>
      <c r="U55" s="60"/>
      <c r="V55" s="60"/>
      <c r="W55" s="65"/>
      <c r="X55" s="60"/>
      <c r="Y55" s="60"/>
      <c r="Z55" s="319"/>
      <c r="AA55" s="60"/>
      <c r="AB55" s="60"/>
      <c r="AC55" s="60"/>
      <c r="AD55" s="60"/>
      <c r="AE55" s="60"/>
      <c r="AF55" s="6"/>
      <c r="AG55" s="139"/>
      <c r="AH55" s="139"/>
      <c r="AI55" s="139"/>
      <c r="AJ55" s="139"/>
    </row>
    <row r="56" spans="1:36" s="209" customFormat="1" ht="11.25" customHeight="1">
      <c r="A56" s="588"/>
      <c r="B56" s="65"/>
      <c r="C56" s="65"/>
      <c r="P56" s="60"/>
      <c r="Q56" s="65"/>
      <c r="R56" s="65"/>
      <c r="S56" s="60"/>
      <c r="T56" s="60"/>
      <c r="U56" s="60"/>
      <c r="V56" s="60"/>
      <c r="W56" s="65"/>
      <c r="X56" s="60"/>
      <c r="Y56" s="60"/>
      <c r="Z56" s="319"/>
      <c r="AA56" s="60"/>
      <c r="AB56" s="60"/>
      <c r="AC56" s="60"/>
      <c r="AD56" s="60"/>
      <c r="AE56" s="60"/>
      <c r="AF56" s="6"/>
      <c r="AG56" s="139"/>
      <c r="AH56" s="139"/>
      <c r="AI56" s="139"/>
      <c r="AJ56" s="139"/>
    </row>
    <row r="57" spans="1:36" s="209" customFormat="1" ht="11.25" customHeight="1">
      <c r="A57" s="588"/>
      <c r="B57" s="65"/>
      <c r="C57" s="65"/>
      <c r="P57" s="60"/>
      <c r="Q57" s="65"/>
      <c r="R57" s="65"/>
      <c r="S57" s="60"/>
      <c r="T57" s="60"/>
      <c r="U57" s="60"/>
      <c r="V57" s="60"/>
      <c r="W57" s="65"/>
      <c r="X57" s="60"/>
      <c r="Y57" s="60"/>
      <c r="Z57" s="319"/>
      <c r="AA57" s="60"/>
      <c r="AB57" s="60"/>
      <c r="AC57" s="60"/>
      <c r="AD57" s="60"/>
      <c r="AE57" s="60"/>
      <c r="AF57" s="6"/>
      <c r="AG57" s="139"/>
      <c r="AH57" s="139"/>
      <c r="AI57" s="139"/>
      <c r="AJ57" s="139"/>
    </row>
    <row r="58" spans="1:36" s="209" customFormat="1" ht="11.25" customHeight="1">
      <c r="A58" s="588"/>
      <c r="B58" s="65"/>
      <c r="C58" s="65"/>
      <c r="P58" s="60"/>
      <c r="Q58" s="65"/>
      <c r="R58" s="65"/>
      <c r="S58" s="60"/>
      <c r="T58" s="60"/>
      <c r="U58" s="60"/>
      <c r="V58" s="60"/>
      <c r="W58" s="65"/>
      <c r="X58" s="60"/>
      <c r="Y58" s="60"/>
      <c r="Z58" s="319"/>
      <c r="AA58" s="60"/>
      <c r="AB58" s="60"/>
      <c r="AC58" s="60"/>
      <c r="AD58" s="60"/>
      <c r="AE58" s="60"/>
      <c r="AF58" s="6"/>
      <c r="AG58" s="139"/>
      <c r="AH58" s="139"/>
      <c r="AI58" s="139"/>
      <c r="AJ58" s="139"/>
    </row>
    <row r="59" spans="1:36" s="209" customFormat="1" ht="11.25" customHeight="1">
      <c r="A59" s="588"/>
      <c r="B59" s="65"/>
      <c r="C59" s="65"/>
      <c r="P59" s="60"/>
      <c r="Q59" s="65"/>
      <c r="R59" s="65"/>
      <c r="S59" s="60"/>
      <c r="T59" s="60"/>
      <c r="U59" s="60"/>
      <c r="V59" s="60"/>
      <c r="W59" s="65"/>
      <c r="X59" s="60"/>
      <c r="Y59" s="60"/>
      <c r="Z59" s="319"/>
      <c r="AA59" s="60"/>
      <c r="AB59" s="60"/>
      <c r="AC59" s="60"/>
      <c r="AD59" s="60"/>
      <c r="AE59" s="60"/>
      <c r="AF59" s="6"/>
      <c r="AG59" s="139"/>
      <c r="AH59" s="139"/>
      <c r="AI59" s="139"/>
      <c r="AJ59" s="139"/>
    </row>
    <row r="60" spans="1:36" s="209" customFormat="1" ht="11.25" customHeight="1">
      <c r="A60" s="588"/>
      <c r="B60" s="65"/>
      <c r="C60" s="65"/>
      <c r="P60" s="60"/>
      <c r="Q60" s="65"/>
      <c r="R60" s="65"/>
      <c r="S60" s="60"/>
      <c r="T60" s="60"/>
      <c r="U60" s="60"/>
      <c r="V60" s="60"/>
      <c r="W60" s="65"/>
      <c r="X60" s="60"/>
      <c r="Y60" s="60"/>
      <c r="Z60" s="319"/>
      <c r="AA60" s="60"/>
      <c r="AB60" s="60"/>
      <c r="AC60" s="60"/>
      <c r="AD60" s="60"/>
      <c r="AE60" s="60"/>
      <c r="AF60" s="6"/>
      <c r="AG60" s="139"/>
      <c r="AH60" s="139"/>
      <c r="AI60" s="139"/>
      <c r="AJ60" s="139"/>
    </row>
    <row r="61" spans="1:36" s="209" customFormat="1" ht="11.25" customHeight="1">
      <c r="A61" s="588"/>
      <c r="B61" s="65"/>
      <c r="C61" s="65"/>
      <c r="P61" s="60"/>
      <c r="Q61" s="65"/>
      <c r="R61" s="65"/>
      <c r="S61" s="60"/>
      <c r="T61" s="60"/>
      <c r="U61" s="60"/>
      <c r="V61" s="60"/>
      <c r="W61" s="65"/>
      <c r="X61" s="60"/>
      <c r="Y61" s="60"/>
      <c r="Z61" s="319"/>
      <c r="AA61" s="60"/>
      <c r="AB61" s="60"/>
      <c r="AC61" s="60"/>
      <c r="AD61" s="60"/>
      <c r="AE61" s="60"/>
      <c r="AF61" s="6"/>
      <c r="AG61" s="139"/>
      <c r="AH61" s="139"/>
      <c r="AI61" s="139"/>
      <c r="AJ61" s="139"/>
    </row>
    <row r="62" spans="1:36" s="209" customFormat="1" ht="11.25" customHeight="1">
      <c r="A62" s="588"/>
      <c r="B62" s="65"/>
      <c r="C62" s="65"/>
      <c r="P62" s="60"/>
      <c r="Q62" s="65"/>
      <c r="R62" s="65"/>
      <c r="S62" s="60"/>
      <c r="T62" s="60"/>
      <c r="U62" s="60"/>
      <c r="V62" s="60"/>
      <c r="W62" s="65"/>
      <c r="X62" s="60"/>
      <c r="Y62" s="60"/>
      <c r="Z62" s="319"/>
      <c r="AA62" s="60"/>
      <c r="AB62" s="60"/>
      <c r="AC62" s="60"/>
      <c r="AD62" s="60"/>
      <c r="AE62" s="60"/>
      <c r="AF62" s="6"/>
      <c r="AG62" s="139"/>
      <c r="AH62" s="139"/>
      <c r="AI62" s="139"/>
      <c r="AJ62" s="139"/>
    </row>
    <row r="63" spans="1:36" s="209" customFormat="1" ht="11.25" customHeight="1">
      <c r="A63" s="588"/>
      <c r="B63" s="65"/>
      <c r="C63" s="65"/>
      <c r="P63" s="60"/>
      <c r="Q63" s="65"/>
      <c r="R63" s="65"/>
      <c r="S63" s="60"/>
      <c r="T63" s="60"/>
      <c r="U63" s="60"/>
      <c r="V63" s="60"/>
      <c r="W63" s="65"/>
      <c r="X63" s="60"/>
      <c r="Y63" s="60"/>
      <c r="Z63" s="319"/>
      <c r="AA63" s="60"/>
      <c r="AB63" s="60"/>
      <c r="AC63" s="60"/>
      <c r="AD63" s="60"/>
      <c r="AE63" s="60"/>
      <c r="AF63" s="6"/>
      <c r="AG63" s="139"/>
      <c r="AH63" s="139"/>
      <c r="AI63" s="139"/>
      <c r="AJ63" s="139"/>
    </row>
    <row r="64" spans="1:36" s="209" customFormat="1" ht="11.25" customHeight="1">
      <c r="A64" s="588"/>
      <c r="B64" s="65"/>
      <c r="C64" s="65"/>
      <c r="P64" s="60"/>
      <c r="Q64" s="65"/>
      <c r="R64" s="65"/>
      <c r="S64" s="60"/>
      <c r="T64" s="60"/>
      <c r="U64" s="60"/>
      <c r="V64" s="60"/>
      <c r="W64" s="65"/>
      <c r="X64" s="60"/>
      <c r="Y64" s="60"/>
      <c r="Z64" s="319"/>
      <c r="AA64" s="60"/>
      <c r="AB64" s="60"/>
      <c r="AC64" s="60"/>
      <c r="AD64" s="60"/>
      <c r="AE64" s="60"/>
      <c r="AF64" s="6"/>
      <c r="AG64" s="139"/>
      <c r="AH64" s="139"/>
      <c r="AI64" s="139"/>
      <c r="AJ64" s="139"/>
    </row>
    <row r="65" spans="1:36" s="209" customFormat="1" ht="11.25" customHeight="1">
      <c r="A65" s="588"/>
      <c r="B65" s="65"/>
      <c r="C65" s="65"/>
      <c r="P65" s="60"/>
      <c r="Q65" s="65"/>
      <c r="R65" s="65"/>
      <c r="S65" s="60"/>
      <c r="T65" s="60"/>
      <c r="U65" s="60"/>
      <c r="V65" s="60"/>
      <c r="W65" s="65"/>
      <c r="X65" s="60"/>
      <c r="Y65" s="60"/>
      <c r="Z65" s="319"/>
      <c r="AA65" s="60"/>
      <c r="AB65" s="60"/>
      <c r="AC65" s="60"/>
      <c r="AD65" s="60"/>
      <c r="AE65" s="60"/>
      <c r="AF65" s="6"/>
      <c r="AG65" s="139"/>
      <c r="AH65" s="139"/>
      <c r="AI65" s="139"/>
      <c r="AJ65" s="139"/>
    </row>
    <row r="66" spans="1:36" s="209" customFormat="1" ht="11.25" customHeight="1">
      <c r="A66" s="588"/>
      <c r="B66" s="65"/>
      <c r="C66" s="65"/>
      <c r="P66" s="60"/>
      <c r="Q66" s="65"/>
      <c r="R66" s="65"/>
      <c r="S66" s="60"/>
      <c r="T66" s="60"/>
      <c r="U66" s="60"/>
      <c r="V66" s="60"/>
      <c r="W66" s="65"/>
      <c r="X66" s="60"/>
      <c r="Y66" s="60"/>
      <c r="Z66" s="319"/>
      <c r="AA66" s="60"/>
      <c r="AB66" s="60"/>
      <c r="AC66" s="60"/>
      <c r="AD66" s="60"/>
      <c r="AE66" s="60"/>
      <c r="AF66" s="6"/>
      <c r="AG66" s="139"/>
      <c r="AH66" s="139"/>
      <c r="AI66" s="139"/>
      <c r="AJ66" s="139"/>
    </row>
    <row r="67" spans="1:36" s="209" customFormat="1" ht="11.25" customHeight="1">
      <c r="A67" s="588"/>
      <c r="B67" s="65"/>
      <c r="C67" s="65"/>
      <c r="P67" s="60"/>
      <c r="Q67" s="65"/>
      <c r="R67" s="65"/>
      <c r="S67" s="60"/>
      <c r="T67" s="60"/>
      <c r="U67" s="60"/>
      <c r="V67" s="60"/>
      <c r="W67" s="65"/>
      <c r="X67" s="60"/>
      <c r="Y67" s="60"/>
      <c r="Z67" s="319"/>
      <c r="AA67" s="60"/>
      <c r="AB67" s="60"/>
      <c r="AC67" s="60"/>
      <c r="AD67" s="60"/>
      <c r="AE67" s="60"/>
      <c r="AF67" s="6"/>
      <c r="AG67" s="139"/>
      <c r="AH67" s="139"/>
      <c r="AI67" s="139"/>
      <c r="AJ67" s="139"/>
    </row>
    <row r="68" spans="1:36" s="209" customFormat="1" ht="11.25" customHeight="1">
      <c r="A68" s="588"/>
      <c r="B68" s="65"/>
      <c r="C68" s="65"/>
      <c r="P68" s="60"/>
      <c r="Q68" s="65"/>
      <c r="R68" s="65"/>
      <c r="S68" s="60"/>
      <c r="T68" s="60"/>
      <c r="U68" s="60"/>
      <c r="V68" s="60"/>
      <c r="W68" s="65"/>
      <c r="X68" s="60"/>
      <c r="Y68" s="60"/>
      <c r="Z68" s="319"/>
      <c r="AA68" s="60"/>
      <c r="AB68" s="60"/>
      <c r="AC68" s="60"/>
      <c r="AD68" s="60"/>
      <c r="AE68" s="60"/>
      <c r="AF68" s="6"/>
      <c r="AG68" s="139"/>
      <c r="AH68" s="139"/>
      <c r="AI68" s="139"/>
      <c r="AJ68" s="139"/>
    </row>
    <row r="69" spans="1:36" s="209" customFormat="1" ht="11.25" customHeight="1">
      <c r="A69" s="588"/>
      <c r="B69" s="65"/>
      <c r="C69" s="65"/>
      <c r="P69" s="60"/>
      <c r="Q69" s="65"/>
      <c r="R69" s="65"/>
      <c r="S69" s="60"/>
      <c r="T69" s="60"/>
      <c r="U69" s="60"/>
      <c r="V69" s="60"/>
      <c r="W69" s="65"/>
      <c r="X69" s="60"/>
      <c r="Y69" s="60"/>
      <c r="Z69" s="319"/>
      <c r="AA69" s="60"/>
      <c r="AB69" s="60"/>
      <c r="AC69" s="60"/>
      <c r="AD69" s="60"/>
      <c r="AE69" s="60"/>
      <c r="AF69" s="6"/>
      <c r="AG69" s="139"/>
      <c r="AH69" s="139"/>
      <c r="AI69" s="139"/>
      <c r="AJ69" s="139"/>
    </row>
    <row r="70" spans="1:36" s="209" customFormat="1" ht="11.25" customHeight="1">
      <c r="A70" s="588"/>
      <c r="B70" s="65"/>
      <c r="C70" s="65"/>
      <c r="P70" s="60"/>
      <c r="Q70" s="65"/>
      <c r="R70" s="65"/>
      <c r="S70" s="60"/>
      <c r="T70" s="60"/>
      <c r="U70" s="60"/>
      <c r="V70" s="60"/>
      <c r="W70" s="65"/>
      <c r="X70" s="60"/>
      <c r="Y70" s="60"/>
      <c r="Z70" s="319"/>
      <c r="AA70" s="60"/>
      <c r="AB70" s="60"/>
      <c r="AC70" s="60"/>
      <c r="AD70" s="60"/>
      <c r="AE70" s="60"/>
      <c r="AF70" s="6"/>
      <c r="AG70" s="139"/>
      <c r="AH70" s="139"/>
      <c r="AI70" s="139"/>
      <c r="AJ70" s="139"/>
    </row>
    <row r="71" spans="1:36" s="209" customFormat="1" ht="11.25" customHeight="1">
      <c r="A71" s="588"/>
      <c r="B71" s="65"/>
      <c r="C71" s="65"/>
      <c r="P71" s="60"/>
      <c r="Q71" s="65"/>
      <c r="R71" s="65"/>
      <c r="S71" s="60"/>
      <c r="T71" s="60"/>
      <c r="U71" s="60"/>
      <c r="V71" s="60"/>
      <c r="W71" s="65"/>
      <c r="X71" s="60"/>
      <c r="Y71" s="60"/>
      <c r="Z71" s="319"/>
      <c r="AA71" s="60"/>
      <c r="AB71" s="60"/>
      <c r="AC71" s="60"/>
      <c r="AD71" s="60"/>
      <c r="AE71" s="60"/>
      <c r="AF71" s="6"/>
      <c r="AG71" s="139"/>
      <c r="AH71" s="139"/>
      <c r="AI71" s="139"/>
      <c r="AJ71" s="139"/>
    </row>
    <row r="72" spans="1:36" s="209" customFormat="1" ht="11.25" customHeight="1">
      <c r="A72" s="588"/>
      <c r="B72" s="65"/>
      <c r="C72" s="65"/>
      <c r="P72" s="60"/>
      <c r="Q72" s="65"/>
      <c r="R72" s="65"/>
      <c r="S72" s="60"/>
      <c r="T72" s="60"/>
      <c r="U72" s="60"/>
      <c r="V72" s="60"/>
      <c r="W72" s="65"/>
      <c r="X72" s="60"/>
      <c r="Y72" s="60"/>
      <c r="Z72" s="319"/>
      <c r="AA72" s="60"/>
      <c r="AB72" s="60"/>
      <c r="AC72" s="60"/>
      <c r="AD72" s="60"/>
      <c r="AE72" s="60"/>
      <c r="AF72" s="6"/>
      <c r="AG72" s="139"/>
      <c r="AH72" s="139"/>
      <c r="AI72" s="139"/>
      <c r="AJ72" s="139"/>
    </row>
    <row r="73" spans="1:36" s="209" customFormat="1" ht="11.25" customHeight="1">
      <c r="A73" s="588"/>
      <c r="B73" s="65"/>
      <c r="C73" s="65"/>
      <c r="P73" s="60"/>
      <c r="Q73" s="65"/>
      <c r="R73" s="65"/>
      <c r="S73" s="60"/>
      <c r="T73" s="60"/>
      <c r="U73" s="60"/>
      <c r="V73" s="60"/>
      <c r="W73" s="65"/>
      <c r="X73" s="60"/>
      <c r="Y73" s="60"/>
      <c r="Z73" s="319"/>
      <c r="AA73" s="60"/>
      <c r="AB73" s="60"/>
      <c r="AC73" s="60"/>
      <c r="AD73" s="60"/>
      <c r="AE73" s="60"/>
      <c r="AF73" s="6"/>
      <c r="AG73" s="139"/>
      <c r="AH73" s="139"/>
      <c r="AI73" s="139"/>
      <c r="AJ73" s="139"/>
    </row>
    <row r="74" spans="1:36" s="209" customFormat="1" ht="11.25" customHeight="1">
      <c r="A74" s="588"/>
      <c r="B74" s="65"/>
      <c r="C74" s="65"/>
      <c r="P74" s="60"/>
      <c r="Q74" s="65"/>
      <c r="R74" s="65"/>
      <c r="S74" s="60"/>
      <c r="T74" s="60"/>
      <c r="U74" s="60"/>
      <c r="V74" s="60"/>
      <c r="W74" s="65"/>
      <c r="X74" s="60"/>
      <c r="Y74" s="60"/>
      <c r="Z74" s="319"/>
      <c r="AA74" s="60"/>
      <c r="AB74" s="60"/>
      <c r="AC74" s="60"/>
      <c r="AD74" s="60"/>
      <c r="AE74" s="60"/>
      <c r="AF74" s="6"/>
      <c r="AG74" s="139"/>
      <c r="AH74" s="139"/>
      <c r="AI74" s="139"/>
      <c r="AJ74" s="139"/>
    </row>
    <row r="75" spans="1:36" s="209" customFormat="1" ht="11.25" customHeight="1">
      <c r="A75" s="588"/>
      <c r="B75" s="65"/>
      <c r="C75" s="65"/>
      <c r="P75" s="60"/>
      <c r="Q75" s="65"/>
      <c r="R75" s="65"/>
      <c r="S75" s="60"/>
      <c r="T75" s="60"/>
      <c r="U75" s="60"/>
      <c r="V75" s="60"/>
      <c r="W75" s="65"/>
      <c r="X75" s="60"/>
      <c r="Y75" s="60"/>
      <c r="Z75" s="319"/>
      <c r="AA75" s="60"/>
      <c r="AB75" s="60"/>
      <c r="AC75" s="60"/>
      <c r="AD75" s="60"/>
      <c r="AE75" s="60"/>
      <c r="AF75" s="6"/>
      <c r="AG75" s="139"/>
      <c r="AH75" s="139"/>
      <c r="AI75" s="139"/>
      <c r="AJ75" s="139"/>
    </row>
    <row r="76" spans="1:36" s="209" customFormat="1" ht="11.25" customHeight="1">
      <c r="A76" s="588"/>
      <c r="B76" s="65"/>
      <c r="C76" s="65"/>
      <c r="P76" s="60"/>
      <c r="Q76" s="65"/>
      <c r="R76" s="65"/>
      <c r="S76" s="60"/>
      <c r="T76" s="60"/>
      <c r="U76" s="60"/>
      <c r="V76" s="60"/>
      <c r="W76" s="65"/>
      <c r="X76" s="60"/>
      <c r="Y76" s="60"/>
      <c r="Z76" s="319"/>
      <c r="AA76" s="60"/>
      <c r="AB76" s="60"/>
      <c r="AC76" s="60"/>
      <c r="AD76" s="60"/>
      <c r="AE76" s="60"/>
      <c r="AF76" s="6"/>
      <c r="AG76" s="139"/>
      <c r="AH76" s="139"/>
      <c r="AI76" s="139"/>
      <c r="AJ76" s="139"/>
    </row>
    <row r="77" spans="1:36" s="209" customFormat="1" ht="11.25" customHeight="1">
      <c r="A77" s="588"/>
      <c r="B77" s="65"/>
      <c r="C77" s="65"/>
      <c r="P77" s="60"/>
      <c r="Q77" s="65"/>
      <c r="R77" s="65"/>
      <c r="S77" s="60"/>
      <c r="T77" s="60"/>
      <c r="U77" s="60"/>
      <c r="V77" s="60"/>
      <c r="W77" s="65"/>
      <c r="X77" s="60"/>
      <c r="Y77" s="60"/>
      <c r="Z77" s="319"/>
      <c r="AA77" s="60"/>
      <c r="AB77" s="60"/>
      <c r="AC77" s="60"/>
      <c r="AD77" s="60"/>
      <c r="AE77" s="60"/>
      <c r="AF77" s="6"/>
      <c r="AG77" s="139"/>
      <c r="AH77" s="139"/>
      <c r="AI77" s="139"/>
      <c r="AJ77" s="139"/>
    </row>
    <row r="78" spans="1:36" s="209" customFormat="1" ht="11.25" customHeight="1">
      <c r="A78" s="588"/>
      <c r="B78" s="65"/>
      <c r="C78" s="65"/>
      <c r="P78" s="60"/>
      <c r="Q78" s="65"/>
      <c r="R78" s="65"/>
      <c r="S78" s="60"/>
      <c r="T78" s="60"/>
      <c r="U78" s="60"/>
      <c r="V78" s="60"/>
      <c r="W78" s="65"/>
      <c r="X78" s="60"/>
      <c r="Y78" s="60"/>
      <c r="Z78" s="319"/>
      <c r="AA78" s="60"/>
      <c r="AB78" s="60"/>
      <c r="AC78" s="60"/>
      <c r="AD78" s="60"/>
      <c r="AE78" s="60"/>
      <c r="AF78" s="6"/>
      <c r="AG78" s="139"/>
      <c r="AH78" s="139"/>
      <c r="AI78" s="139"/>
      <c r="AJ78" s="139"/>
    </row>
    <row r="79" spans="1:36" s="209" customFormat="1" ht="11.25" customHeight="1">
      <c r="A79" s="588"/>
      <c r="B79" s="65"/>
      <c r="C79" s="65"/>
      <c r="P79" s="60"/>
      <c r="Q79" s="65"/>
      <c r="R79" s="65"/>
      <c r="S79" s="60"/>
      <c r="T79" s="60"/>
      <c r="U79" s="60"/>
      <c r="V79" s="60"/>
      <c r="W79" s="65"/>
      <c r="X79" s="60"/>
      <c r="Y79" s="60"/>
      <c r="Z79" s="319"/>
      <c r="AA79" s="60"/>
      <c r="AB79" s="60"/>
      <c r="AC79" s="60"/>
      <c r="AD79" s="60"/>
      <c r="AE79" s="60"/>
      <c r="AF79" s="6"/>
      <c r="AG79" s="139"/>
      <c r="AH79" s="139"/>
      <c r="AI79" s="139"/>
      <c r="AJ79" s="139"/>
    </row>
    <row r="80" spans="1:36" s="209" customFormat="1" ht="11.25" customHeight="1">
      <c r="A80" s="588"/>
      <c r="B80" s="65"/>
      <c r="C80" s="65"/>
      <c r="P80" s="60"/>
      <c r="Q80" s="65"/>
      <c r="R80" s="65"/>
      <c r="S80" s="60"/>
      <c r="T80" s="60"/>
      <c r="U80" s="60"/>
      <c r="V80" s="60"/>
      <c r="W80" s="65"/>
      <c r="X80" s="60"/>
      <c r="Y80" s="60"/>
      <c r="Z80" s="319"/>
      <c r="AA80" s="60"/>
      <c r="AB80" s="60"/>
      <c r="AC80" s="60"/>
      <c r="AD80" s="60"/>
      <c r="AE80" s="60"/>
      <c r="AF80" s="6"/>
      <c r="AG80" s="139"/>
      <c r="AH80" s="139"/>
      <c r="AI80" s="139"/>
      <c r="AJ80" s="139"/>
    </row>
    <row r="81" spans="1:36" s="209" customFormat="1" ht="11.25" customHeight="1">
      <c r="A81" s="588"/>
      <c r="B81" s="65"/>
      <c r="C81" s="65"/>
      <c r="P81" s="60"/>
      <c r="Q81" s="65"/>
      <c r="R81" s="65"/>
      <c r="S81" s="60"/>
      <c r="T81" s="60"/>
      <c r="U81" s="60"/>
      <c r="V81" s="60"/>
      <c r="W81" s="65"/>
      <c r="X81" s="60"/>
      <c r="Y81" s="60"/>
      <c r="Z81" s="319"/>
      <c r="AA81" s="60"/>
      <c r="AB81" s="60"/>
      <c r="AC81" s="60"/>
      <c r="AD81" s="60"/>
      <c r="AE81" s="60"/>
      <c r="AF81" s="6"/>
      <c r="AG81" s="139"/>
      <c r="AH81" s="139"/>
      <c r="AI81" s="139"/>
      <c r="AJ81" s="139"/>
    </row>
    <row r="82" spans="1:36" s="209" customFormat="1" ht="11.25" customHeight="1">
      <c r="A82" s="588"/>
      <c r="B82" s="65"/>
      <c r="C82" s="65"/>
      <c r="P82" s="60"/>
      <c r="Q82" s="65"/>
      <c r="R82" s="65"/>
      <c r="S82" s="60"/>
      <c r="T82" s="60"/>
      <c r="U82" s="60"/>
      <c r="V82" s="60"/>
      <c r="W82" s="65"/>
      <c r="X82" s="60"/>
      <c r="Y82" s="60"/>
      <c r="Z82" s="319"/>
      <c r="AA82" s="60"/>
      <c r="AB82" s="60"/>
      <c r="AC82" s="60"/>
      <c r="AD82" s="60"/>
      <c r="AE82" s="60"/>
      <c r="AF82" s="6"/>
      <c r="AG82" s="139"/>
      <c r="AH82" s="139"/>
      <c r="AI82" s="139"/>
      <c r="AJ82" s="139"/>
    </row>
    <row r="83" spans="1:36" s="209" customFormat="1" ht="11.25" customHeight="1">
      <c r="A83" s="588"/>
      <c r="B83" s="65"/>
      <c r="C83" s="65"/>
      <c r="P83" s="60"/>
      <c r="Q83" s="65"/>
      <c r="R83" s="65"/>
      <c r="S83" s="60"/>
      <c r="T83" s="60"/>
      <c r="U83" s="60"/>
      <c r="V83" s="60"/>
      <c r="W83" s="65"/>
      <c r="X83" s="60"/>
      <c r="Y83" s="60"/>
      <c r="Z83" s="319"/>
      <c r="AA83" s="60"/>
      <c r="AB83" s="60"/>
      <c r="AC83" s="60"/>
      <c r="AD83" s="60"/>
      <c r="AE83" s="60"/>
      <c r="AF83" s="6"/>
      <c r="AG83" s="139"/>
      <c r="AH83" s="139"/>
      <c r="AI83" s="139"/>
      <c r="AJ83" s="139"/>
    </row>
    <row r="84" spans="1:36" s="209" customFormat="1" ht="11.25" customHeight="1">
      <c r="A84" s="588"/>
      <c r="B84" s="65"/>
      <c r="C84" s="65"/>
      <c r="P84" s="60"/>
      <c r="Q84" s="65"/>
      <c r="R84" s="65"/>
      <c r="S84" s="60"/>
      <c r="T84" s="60"/>
      <c r="U84" s="60"/>
      <c r="V84" s="60"/>
      <c r="W84" s="65"/>
      <c r="X84" s="60"/>
      <c r="Y84" s="60"/>
      <c r="Z84" s="319"/>
      <c r="AA84" s="60"/>
      <c r="AB84" s="60"/>
      <c r="AC84" s="60"/>
      <c r="AD84" s="60"/>
      <c r="AE84" s="60"/>
      <c r="AF84" s="6"/>
      <c r="AG84" s="139"/>
      <c r="AH84" s="139"/>
      <c r="AI84" s="139"/>
      <c r="AJ84" s="139"/>
    </row>
    <row r="85" spans="1:36" s="209" customFormat="1" ht="11.25" customHeight="1">
      <c r="A85" s="588"/>
      <c r="B85" s="65"/>
      <c r="C85" s="65"/>
      <c r="P85" s="60"/>
      <c r="Q85" s="65"/>
      <c r="R85" s="65"/>
      <c r="S85" s="60"/>
      <c r="T85" s="60"/>
      <c r="U85" s="60"/>
      <c r="V85" s="60"/>
      <c r="W85" s="65"/>
      <c r="X85" s="60"/>
      <c r="Y85" s="60"/>
      <c r="Z85" s="319"/>
      <c r="AA85" s="60"/>
      <c r="AB85" s="60"/>
      <c r="AC85" s="60"/>
      <c r="AD85" s="60"/>
      <c r="AE85" s="60"/>
      <c r="AF85" s="6"/>
      <c r="AG85" s="139"/>
      <c r="AH85" s="139"/>
      <c r="AI85" s="139"/>
      <c r="AJ85" s="139"/>
    </row>
    <row r="86" spans="1:36" s="209" customFormat="1" ht="11.25" customHeight="1">
      <c r="A86" s="588"/>
      <c r="B86" s="65"/>
      <c r="C86" s="65"/>
      <c r="P86" s="60"/>
      <c r="Q86" s="65"/>
      <c r="R86" s="65"/>
      <c r="S86" s="60"/>
      <c r="T86" s="60"/>
      <c r="U86" s="60"/>
      <c r="V86" s="60"/>
      <c r="W86" s="65"/>
      <c r="X86" s="60"/>
      <c r="Y86" s="60"/>
      <c r="Z86" s="319"/>
      <c r="AA86" s="60"/>
      <c r="AB86" s="60"/>
      <c r="AC86" s="60"/>
      <c r="AD86" s="60"/>
      <c r="AE86" s="60"/>
      <c r="AF86" s="6"/>
      <c r="AG86" s="139"/>
      <c r="AH86" s="139"/>
      <c r="AI86" s="139"/>
      <c r="AJ86" s="139"/>
    </row>
    <row r="87" spans="1:36" s="209" customFormat="1" ht="11.25" customHeight="1">
      <c r="A87" s="588"/>
      <c r="B87" s="65"/>
      <c r="C87" s="65"/>
      <c r="P87" s="60"/>
      <c r="Q87" s="65"/>
      <c r="R87" s="65"/>
      <c r="S87" s="60"/>
      <c r="T87" s="60"/>
      <c r="U87" s="60"/>
      <c r="V87" s="60"/>
      <c r="W87" s="65"/>
      <c r="X87" s="60"/>
      <c r="Y87" s="60"/>
      <c r="Z87" s="319"/>
      <c r="AA87" s="60"/>
      <c r="AB87" s="60"/>
      <c r="AC87" s="60"/>
      <c r="AD87" s="60"/>
      <c r="AE87" s="60"/>
      <c r="AF87" s="6"/>
      <c r="AG87" s="139"/>
      <c r="AH87" s="139"/>
      <c r="AI87" s="139"/>
      <c r="AJ87" s="139"/>
    </row>
    <row r="88" spans="1:36" s="209" customFormat="1" ht="11.25" customHeight="1">
      <c r="A88" s="588"/>
      <c r="B88" s="65"/>
      <c r="C88" s="65"/>
      <c r="P88" s="60"/>
      <c r="Q88" s="65"/>
      <c r="R88" s="65"/>
      <c r="S88" s="60"/>
      <c r="T88" s="60"/>
      <c r="U88" s="60"/>
      <c r="V88" s="60"/>
      <c r="W88" s="65"/>
      <c r="X88" s="60"/>
      <c r="Y88" s="60"/>
      <c r="Z88" s="319"/>
      <c r="AA88" s="60"/>
      <c r="AB88" s="60"/>
      <c r="AC88" s="60"/>
      <c r="AD88" s="60"/>
      <c r="AE88" s="60"/>
      <c r="AF88" s="6"/>
      <c r="AG88" s="139"/>
      <c r="AH88" s="139"/>
      <c r="AI88" s="139"/>
      <c r="AJ88" s="139"/>
    </row>
    <row r="89" spans="1:36" s="209" customFormat="1" ht="11.25" customHeight="1">
      <c r="A89" s="588"/>
      <c r="B89" s="65"/>
      <c r="C89" s="65"/>
      <c r="P89" s="60"/>
      <c r="Q89" s="65"/>
      <c r="R89" s="65"/>
      <c r="S89" s="60"/>
      <c r="T89" s="60"/>
      <c r="U89" s="60"/>
      <c r="V89" s="60"/>
      <c r="W89" s="65"/>
      <c r="X89" s="60"/>
      <c r="Y89" s="60"/>
      <c r="Z89" s="319"/>
      <c r="AA89" s="60"/>
      <c r="AB89" s="60"/>
      <c r="AC89" s="60"/>
      <c r="AD89" s="60"/>
      <c r="AE89" s="60"/>
      <c r="AF89" s="6"/>
      <c r="AG89" s="139"/>
      <c r="AH89" s="139"/>
      <c r="AI89" s="139"/>
      <c r="AJ89" s="139"/>
    </row>
    <row r="90" spans="1:36" s="209" customFormat="1" ht="11.25" customHeight="1">
      <c r="A90" s="588"/>
      <c r="B90" s="65"/>
      <c r="C90" s="65"/>
      <c r="P90" s="60"/>
      <c r="Q90" s="65"/>
      <c r="R90" s="65"/>
      <c r="S90" s="60"/>
      <c r="T90" s="60"/>
      <c r="U90" s="60"/>
      <c r="V90" s="60"/>
      <c r="W90" s="65"/>
      <c r="X90" s="60"/>
      <c r="Y90" s="60"/>
      <c r="Z90" s="319"/>
      <c r="AA90" s="60"/>
      <c r="AB90" s="60"/>
      <c r="AC90" s="60"/>
      <c r="AD90" s="60"/>
      <c r="AE90" s="60"/>
      <c r="AF90" s="6"/>
      <c r="AG90" s="139"/>
      <c r="AH90" s="139"/>
      <c r="AI90" s="139"/>
      <c r="AJ90" s="139"/>
    </row>
    <row r="91" spans="1:36" s="209" customFormat="1" ht="11.25" customHeight="1">
      <c r="A91" s="588"/>
      <c r="B91" s="65"/>
      <c r="C91" s="65"/>
      <c r="P91" s="60"/>
      <c r="Q91" s="65"/>
      <c r="R91" s="65"/>
      <c r="S91" s="60"/>
      <c r="T91" s="60"/>
      <c r="U91" s="60"/>
      <c r="V91" s="60"/>
      <c r="W91" s="65"/>
      <c r="X91" s="60"/>
      <c r="Y91" s="60"/>
      <c r="Z91" s="319"/>
      <c r="AA91" s="60"/>
      <c r="AB91" s="60"/>
      <c r="AC91" s="60"/>
      <c r="AD91" s="60"/>
      <c r="AE91" s="60"/>
      <c r="AF91" s="6"/>
      <c r="AG91" s="139"/>
      <c r="AH91" s="139"/>
      <c r="AI91" s="139"/>
      <c r="AJ91" s="139"/>
    </row>
    <row r="92" spans="1:36" s="209" customFormat="1" ht="11.25" customHeight="1">
      <c r="A92" s="588"/>
      <c r="B92" s="65"/>
      <c r="C92" s="65"/>
      <c r="P92" s="60"/>
      <c r="Q92" s="65"/>
      <c r="R92" s="65"/>
      <c r="S92" s="60"/>
      <c r="T92" s="60"/>
      <c r="U92" s="60"/>
      <c r="V92" s="60"/>
      <c r="W92" s="65"/>
      <c r="X92" s="60"/>
      <c r="Y92" s="60"/>
      <c r="Z92" s="319"/>
      <c r="AA92" s="60"/>
      <c r="AB92" s="60"/>
      <c r="AC92" s="60"/>
      <c r="AD92" s="60"/>
      <c r="AE92" s="60"/>
      <c r="AF92" s="6"/>
      <c r="AG92" s="139"/>
      <c r="AH92" s="139"/>
      <c r="AI92" s="139"/>
      <c r="AJ92" s="139"/>
    </row>
    <row r="93" spans="1:36" s="209" customFormat="1" ht="11.25" customHeight="1">
      <c r="A93" s="588"/>
      <c r="B93" s="65"/>
      <c r="C93" s="65"/>
      <c r="P93" s="60"/>
      <c r="Q93" s="65"/>
      <c r="R93" s="65"/>
      <c r="S93" s="60"/>
      <c r="T93" s="60"/>
      <c r="U93" s="60"/>
      <c r="V93" s="60"/>
      <c r="W93" s="65"/>
      <c r="X93" s="60"/>
      <c r="Y93" s="60"/>
      <c r="Z93" s="319"/>
      <c r="AA93" s="60"/>
      <c r="AB93" s="60"/>
      <c r="AC93" s="60"/>
      <c r="AD93" s="60"/>
      <c r="AE93" s="60"/>
      <c r="AF93" s="6"/>
      <c r="AG93" s="139"/>
      <c r="AH93" s="139"/>
      <c r="AI93" s="139"/>
      <c r="AJ93" s="139"/>
    </row>
    <row r="94" spans="1:36" s="209" customFormat="1" ht="11.25" customHeight="1">
      <c r="A94" s="588"/>
      <c r="B94" s="65"/>
      <c r="C94" s="65"/>
      <c r="P94" s="60"/>
      <c r="Q94" s="65"/>
      <c r="R94" s="65"/>
      <c r="S94" s="60"/>
      <c r="T94" s="60"/>
      <c r="U94" s="60"/>
      <c r="V94" s="60"/>
      <c r="W94" s="65"/>
      <c r="X94" s="60"/>
      <c r="Y94" s="60"/>
      <c r="Z94" s="319"/>
      <c r="AA94" s="60"/>
      <c r="AB94" s="60"/>
      <c r="AC94" s="60"/>
      <c r="AD94" s="60"/>
      <c r="AE94" s="60"/>
      <c r="AF94" s="6"/>
      <c r="AG94" s="139"/>
      <c r="AH94" s="139"/>
      <c r="AI94" s="139"/>
      <c r="AJ94" s="139"/>
    </row>
    <row r="95" spans="1:36" s="209" customFormat="1" ht="11.25" customHeight="1">
      <c r="A95" s="588"/>
      <c r="B95" s="65"/>
      <c r="C95" s="65"/>
      <c r="P95" s="60"/>
      <c r="Q95" s="65"/>
      <c r="R95" s="65"/>
      <c r="S95" s="60"/>
      <c r="T95" s="60"/>
      <c r="U95" s="60"/>
      <c r="V95" s="60"/>
      <c r="W95" s="65"/>
      <c r="X95" s="60"/>
      <c r="Y95" s="60"/>
      <c r="Z95" s="319"/>
      <c r="AA95" s="60"/>
      <c r="AB95" s="60"/>
      <c r="AC95" s="60"/>
      <c r="AD95" s="60"/>
      <c r="AE95" s="60"/>
      <c r="AF95" s="6"/>
      <c r="AG95" s="139"/>
      <c r="AH95" s="139"/>
      <c r="AI95" s="139"/>
      <c r="AJ95" s="139"/>
    </row>
    <row r="96" spans="1:36" s="209" customFormat="1" ht="11.25" customHeight="1">
      <c r="A96" s="588"/>
      <c r="B96" s="65"/>
      <c r="C96" s="65"/>
      <c r="P96" s="60"/>
      <c r="Q96" s="65"/>
      <c r="R96" s="65"/>
      <c r="S96" s="60"/>
      <c r="T96" s="60"/>
      <c r="U96" s="60"/>
      <c r="V96" s="60"/>
      <c r="W96" s="65"/>
      <c r="X96" s="60"/>
      <c r="Y96" s="60"/>
      <c r="Z96" s="319"/>
      <c r="AA96" s="60"/>
      <c r="AB96" s="60"/>
      <c r="AC96" s="60"/>
      <c r="AD96" s="60"/>
      <c r="AE96" s="60"/>
      <c r="AF96" s="6"/>
      <c r="AG96" s="139"/>
      <c r="AH96" s="139"/>
      <c r="AI96" s="139"/>
      <c r="AJ96" s="139"/>
    </row>
    <row r="97" spans="1:36" s="209" customFormat="1" ht="11.25" customHeight="1">
      <c r="A97" s="588"/>
      <c r="B97" s="65"/>
      <c r="C97" s="65"/>
      <c r="P97" s="60"/>
      <c r="Q97" s="65"/>
      <c r="R97" s="65"/>
      <c r="S97" s="60"/>
      <c r="T97" s="60"/>
      <c r="U97" s="60"/>
      <c r="V97" s="60"/>
      <c r="W97" s="65"/>
      <c r="X97" s="60"/>
      <c r="Y97" s="60"/>
      <c r="Z97" s="319"/>
      <c r="AA97" s="60"/>
      <c r="AB97" s="60"/>
      <c r="AC97" s="60"/>
      <c r="AD97" s="60"/>
      <c r="AE97" s="60"/>
      <c r="AF97" s="6"/>
      <c r="AG97" s="139"/>
      <c r="AH97" s="139"/>
      <c r="AI97" s="139"/>
      <c r="AJ97" s="139"/>
    </row>
    <row r="98" spans="1:36" s="209" customFormat="1" ht="11.25" customHeight="1">
      <c r="A98" s="588"/>
      <c r="B98" s="65"/>
      <c r="C98" s="65"/>
      <c r="P98" s="60"/>
      <c r="Q98" s="65"/>
      <c r="R98" s="65"/>
      <c r="S98" s="60"/>
      <c r="T98" s="60"/>
      <c r="U98" s="60"/>
      <c r="V98" s="60"/>
      <c r="W98" s="65"/>
      <c r="X98" s="60"/>
      <c r="Y98" s="60"/>
      <c r="Z98" s="319"/>
      <c r="AA98" s="60"/>
      <c r="AB98" s="60"/>
      <c r="AC98" s="60"/>
      <c r="AD98" s="60"/>
      <c r="AE98" s="60"/>
      <c r="AF98" s="6"/>
      <c r="AG98" s="139"/>
      <c r="AH98" s="139"/>
      <c r="AI98" s="139"/>
      <c r="AJ98" s="139"/>
    </row>
    <row r="99" spans="1:36" s="209" customFormat="1" ht="11.25" customHeight="1">
      <c r="A99" s="588"/>
      <c r="B99" s="65"/>
      <c r="C99" s="65"/>
      <c r="P99" s="60"/>
      <c r="Q99" s="65"/>
      <c r="R99" s="65"/>
      <c r="S99" s="60"/>
      <c r="T99" s="60"/>
      <c r="U99" s="60"/>
      <c r="V99" s="60"/>
      <c r="W99" s="65"/>
      <c r="X99" s="60"/>
      <c r="Y99" s="60"/>
      <c r="Z99" s="319"/>
      <c r="AA99" s="60"/>
      <c r="AB99" s="60"/>
      <c r="AC99" s="60"/>
      <c r="AD99" s="60"/>
      <c r="AE99" s="60"/>
      <c r="AF99" s="6"/>
      <c r="AG99" s="139"/>
      <c r="AH99" s="139"/>
      <c r="AI99" s="139"/>
      <c r="AJ99" s="139"/>
    </row>
    <row r="100" spans="1:36" s="209" customFormat="1" ht="11.25" customHeight="1">
      <c r="A100" s="588"/>
      <c r="B100" s="65"/>
      <c r="C100" s="65"/>
      <c r="P100" s="60"/>
      <c r="Q100" s="65"/>
      <c r="R100" s="65"/>
      <c r="S100" s="60"/>
      <c r="T100" s="60"/>
      <c r="U100" s="60"/>
      <c r="V100" s="60"/>
      <c r="W100" s="65"/>
      <c r="X100" s="60"/>
      <c r="Y100" s="60"/>
      <c r="Z100" s="319"/>
      <c r="AA100" s="60"/>
      <c r="AB100" s="60"/>
      <c r="AC100" s="60"/>
      <c r="AD100" s="60"/>
      <c r="AE100" s="60"/>
      <c r="AF100" s="6"/>
      <c r="AG100" s="139"/>
      <c r="AH100" s="139"/>
      <c r="AI100" s="139"/>
      <c r="AJ100" s="139"/>
    </row>
    <row r="101" spans="1:36" s="209" customFormat="1" ht="11.25" customHeight="1">
      <c r="A101" s="588"/>
      <c r="B101" s="65"/>
      <c r="C101" s="65"/>
      <c r="P101" s="60"/>
      <c r="Q101" s="65"/>
      <c r="R101" s="65"/>
      <c r="S101" s="60"/>
      <c r="T101" s="60"/>
      <c r="U101" s="60"/>
      <c r="V101" s="60"/>
      <c r="W101" s="65"/>
      <c r="X101" s="60"/>
      <c r="Y101" s="60"/>
      <c r="Z101" s="319"/>
      <c r="AA101" s="60"/>
      <c r="AB101" s="60"/>
      <c r="AC101" s="60"/>
      <c r="AD101" s="60"/>
      <c r="AE101" s="60"/>
      <c r="AF101" s="6"/>
      <c r="AG101" s="139"/>
      <c r="AH101" s="139"/>
      <c r="AI101" s="139"/>
      <c r="AJ101" s="139"/>
    </row>
    <row r="102" spans="1:36" s="209" customFormat="1" ht="11.25" customHeight="1">
      <c r="A102" s="588"/>
      <c r="B102" s="65"/>
      <c r="C102" s="65"/>
      <c r="P102" s="60"/>
      <c r="Q102" s="65"/>
      <c r="R102" s="65"/>
      <c r="S102" s="60"/>
      <c r="T102" s="60"/>
      <c r="U102" s="60"/>
      <c r="V102" s="60"/>
      <c r="W102" s="65"/>
      <c r="X102" s="60"/>
      <c r="Y102" s="60"/>
      <c r="Z102" s="319"/>
      <c r="AA102" s="60"/>
      <c r="AB102" s="60"/>
      <c r="AC102" s="60"/>
      <c r="AD102" s="60"/>
      <c r="AE102" s="60"/>
      <c r="AF102" s="6"/>
      <c r="AG102" s="139"/>
      <c r="AH102" s="139"/>
      <c r="AI102" s="139"/>
      <c r="AJ102" s="139"/>
    </row>
    <row r="103" spans="1:36" s="209" customFormat="1" ht="11.25" customHeight="1">
      <c r="A103" s="588"/>
      <c r="B103" s="65"/>
      <c r="C103" s="65"/>
      <c r="P103" s="60"/>
      <c r="Q103" s="65"/>
      <c r="R103" s="65"/>
      <c r="S103" s="60"/>
      <c r="T103" s="60"/>
      <c r="U103" s="60"/>
      <c r="V103" s="60"/>
      <c r="W103" s="65"/>
      <c r="X103" s="60"/>
      <c r="Y103" s="60"/>
      <c r="Z103" s="319"/>
      <c r="AA103" s="60"/>
      <c r="AB103" s="60"/>
      <c r="AC103" s="60"/>
      <c r="AD103" s="60"/>
      <c r="AE103" s="60"/>
      <c r="AF103" s="6"/>
      <c r="AG103" s="139"/>
      <c r="AH103" s="139"/>
      <c r="AI103" s="139"/>
      <c r="AJ103" s="139"/>
    </row>
    <row r="104" spans="1:36" s="209" customFormat="1" ht="11.25" customHeight="1">
      <c r="A104" s="588"/>
      <c r="B104" s="65"/>
      <c r="C104" s="65"/>
      <c r="P104" s="60"/>
      <c r="Q104" s="65"/>
      <c r="R104" s="65"/>
      <c r="S104" s="60"/>
      <c r="T104" s="60"/>
      <c r="U104" s="60"/>
      <c r="V104" s="60"/>
      <c r="W104" s="65"/>
      <c r="X104" s="60"/>
      <c r="Y104" s="60"/>
      <c r="Z104" s="319"/>
      <c r="AA104" s="60"/>
      <c r="AB104" s="60"/>
      <c r="AC104" s="60"/>
      <c r="AD104" s="60"/>
      <c r="AE104" s="60"/>
      <c r="AF104" s="6"/>
      <c r="AG104" s="139"/>
      <c r="AH104" s="139"/>
      <c r="AI104" s="139"/>
      <c r="AJ104" s="139"/>
    </row>
    <row r="105" spans="1:36" s="209" customFormat="1" ht="11.25" customHeight="1">
      <c r="A105" s="588"/>
      <c r="B105" s="65"/>
      <c r="C105" s="65"/>
      <c r="P105" s="60"/>
      <c r="Q105" s="65"/>
      <c r="R105" s="65"/>
      <c r="S105" s="60"/>
      <c r="T105" s="60"/>
      <c r="U105" s="60"/>
      <c r="V105" s="60"/>
      <c r="W105" s="65"/>
      <c r="X105" s="60"/>
      <c r="Y105" s="60"/>
      <c r="Z105" s="319"/>
      <c r="AA105" s="60"/>
      <c r="AB105" s="60"/>
      <c r="AC105" s="60"/>
      <c r="AD105" s="60"/>
      <c r="AE105" s="60"/>
      <c r="AF105" s="6"/>
      <c r="AG105" s="139"/>
      <c r="AH105" s="139"/>
      <c r="AI105" s="139"/>
      <c r="AJ105" s="139"/>
    </row>
    <row r="106" spans="1:36" s="209" customFormat="1" ht="11.25" customHeight="1">
      <c r="A106" s="588"/>
      <c r="B106" s="65"/>
      <c r="C106" s="65"/>
      <c r="P106" s="60"/>
      <c r="Q106" s="65"/>
      <c r="R106" s="65"/>
      <c r="S106" s="60"/>
      <c r="T106" s="60"/>
      <c r="U106" s="60"/>
      <c r="V106" s="60"/>
      <c r="W106" s="65"/>
      <c r="X106" s="60"/>
      <c r="Y106" s="60"/>
      <c r="Z106" s="319"/>
      <c r="AA106" s="60"/>
      <c r="AB106" s="60"/>
      <c r="AC106" s="60"/>
      <c r="AD106" s="60"/>
      <c r="AE106" s="60"/>
      <c r="AF106" s="6"/>
      <c r="AG106" s="139"/>
      <c r="AH106" s="139"/>
      <c r="AI106" s="139"/>
      <c r="AJ106" s="139"/>
    </row>
    <row r="107" spans="1:36" s="209" customFormat="1" ht="11.25" customHeight="1">
      <c r="A107" s="588"/>
      <c r="B107" s="65"/>
      <c r="C107" s="65"/>
      <c r="P107" s="60"/>
      <c r="Q107" s="65"/>
      <c r="R107" s="65"/>
      <c r="S107" s="60"/>
      <c r="T107" s="60"/>
      <c r="U107" s="60"/>
      <c r="V107" s="60"/>
      <c r="W107" s="65"/>
      <c r="X107" s="60"/>
      <c r="Y107" s="60"/>
      <c r="Z107" s="319"/>
      <c r="AA107" s="60"/>
      <c r="AB107" s="60"/>
      <c r="AC107" s="60"/>
      <c r="AD107" s="60"/>
      <c r="AE107" s="60"/>
      <c r="AF107" s="6"/>
      <c r="AG107" s="139"/>
      <c r="AH107" s="139"/>
      <c r="AI107" s="139"/>
      <c r="AJ107" s="139"/>
    </row>
    <row r="108" spans="1:36" s="209" customFormat="1" ht="11.25" customHeight="1">
      <c r="A108" s="588"/>
      <c r="B108" s="65"/>
      <c r="C108" s="65"/>
      <c r="P108" s="60"/>
      <c r="Q108" s="65"/>
      <c r="R108" s="65"/>
      <c r="S108" s="60"/>
      <c r="T108" s="60"/>
      <c r="U108" s="60"/>
      <c r="V108" s="60"/>
      <c r="W108" s="65"/>
      <c r="X108" s="60"/>
      <c r="Y108" s="60"/>
      <c r="Z108" s="319"/>
      <c r="AA108" s="60"/>
      <c r="AB108" s="60"/>
      <c r="AC108" s="60"/>
      <c r="AD108" s="60"/>
      <c r="AE108" s="60"/>
      <c r="AF108" s="6"/>
      <c r="AG108" s="139"/>
      <c r="AH108" s="139"/>
      <c r="AI108" s="139"/>
      <c r="AJ108" s="139"/>
    </row>
    <row r="109" spans="1:36" s="209" customFormat="1" ht="11.25" customHeight="1">
      <c r="A109" s="588"/>
      <c r="B109" s="65"/>
      <c r="C109" s="65"/>
      <c r="P109" s="60"/>
      <c r="Q109" s="65"/>
      <c r="R109" s="65"/>
      <c r="S109" s="60"/>
      <c r="T109" s="60"/>
      <c r="U109" s="60"/>
      <c r="V109" s="60"/>
      <c r="W109" s="65"/>
      <c r="X109" s="60"/>
      <c r="Y109" s="60"/>
      <c r="Z109" s="319"/>
      <c r="AA109" s="60"/>
      <c r="AB109" s="60"/>
      <c r="AC109" s="60"/>
      <c r="AD109" s="60"/>
      <c r="AE109" s="60"/>
      <c r="AF109" s="6"/>
      <c r="AG109" s="139"/>
      <c r="AH109" s="139"/>
      <c r="AI109" s="139"/>
      <c r="AJ109" s="139"/>
    </row>
    <row r="110" spans="1:36" s="209" customFormat="1" ht="11.25" customHeight="1">
      <c r="A110" s="588"/>
      <c r="B110" s="65"/>
      <c r="C110" s="65"/>
      <c r="P110" s="60"/>
      <c r="Q110" s="65"/>
      <c r="R110" s="65"/>
      <c r="S110" s="60"/>
      <c r="T110" s="60"/>
      <c r="U110" s="60"/>
      <c r="V110" s="60"/>
      <c r="W110" s="65"/>
      <c r="X110" s="60"/>
      <c r="Y110" s="60"/>
      <c r="Z110" s="319"/>
      <c r="AA110" s="60"/>
      <c r="AB110" s="60"/>
      <c r="AC110" s="60"/>
      <c r="AD110" s="60"/>
      <c r="AE110" s="60"/>
      <c r="AF110" s="6"/>
      <c r="AG110" s="139"/>
      <c r="AH110" s="139"/>
      <c r="AI110" s="139"/>
      <c r="AJ110" s="139"/>
    </row>
    <row r="111" spans="1:36" s="209" customFormat="1" ht="11.25" customHeight="1">
      <c r="A111" s="588"/>
      <c r="B111" s="65"/>
      <c r="C111" s="65"/>
      <c r="P111" s="60"/>
      <c r="Q111" s="65"/>
      <c r="R111" s="65"/>
      <c r="S111" s="60"/>
      <c r="T111" s="60"/>
      <c r="U111" s="60"/>
      <c r="V111" s="60"/>
      <c r="W111" s="65"/>
      <c r="X111" s="60"/>
      <c r="Y111" s="60"/>
      <c r="Z111" s="319"/>
      <c r="AA111" s="60"/>
      <c r="AB111" s="60"/>
      <c r="AC111" s="60"/>
      <c r="AD111" s="60"/>
      <c r="AE111" s="60"/>
      <c r="AF111" s="6"/>
      <c r="AG111" s="139"/>
      <c r="AH111" s="139"/>
      <c r="AI111" s="139"/>
      <c r="AJ111" s="139"/>
    </row>
    <row r="112" spans="1:36" s="209" customFormat="1" ht="11.25" customHeight="1">
      <c r="A112" s="588"/>
      <c r="B112" s="65"/>
      <c r="C112" s="65"/>
      <c r="P112" s="60"/>
      <c r="Q112" s="65"/>
      <c r="R112" s="65"/>
      <c r="S112" s="60"/>
      <c r="T112" s="60"/>
      <c r="U112" s="60"/>
      <c r="V112" s="60"/>
      <c r="W112" s="65"/>
      <c r="X112" s="60"/>
      <c r="Y112" s="60"/>
      <c r="Z112" s="319"/>
      <c r="AA112" s="60"/>
      <c r="AB112" s="60"/>
      <c r="AC112" s="60"/>
      <c r="AD112" s="60"/>
      <c r="AE112" s="60"/>
      <c r="AF112" s="6"/>
      <c r="AG112" s="139"/>
      <c r="AH112" s="139"/>
      <c r="AI112" s="139"/>
      <c r="AJ112" s="139"/>
    </row>
    <row r="113" spans="1:36" s="209" customFormat="1" ht="11.25" customHeight="1">
      <c r="A113" s="588"/>
      <c r="B113" s="65"/>
      <c r="C113" s="65"/>
      <c r="P113" s="60"/>
      <c r="Q113" s="65"/>
      <c r="R113" s="65"/>
      <c r="S113" s="60"/>
      <c r="T113" s="60"/>
      <c r="U113" s="60"/>
      <c r="V113" s="60"/>
      <c r="W113" s="65"/>
      <c r="X113" s="60"/>
      <c r="Y113" s="60"/>
      <c r="Z113" s="319"/>
      <c r="AA113" s="60"/>
      <c r="AB113" s="60"/>
      <c r="AC113" s="60"/>
      <c r="AD113" s="60"/>
      <c r="AE113" s="60"/>
      <c r="AF113" s="6"/>
      <c r="AG113" s="139"/>
      <c r="AH113" s="139"/>
      <c r="AI113" s="139"/>
      <c r="AJ113" s="139"/>
    </row>
    <row r="114" spans="1:36" s="209" customFormat="1" ht="11.25" customHeight="1">
      <c r="A114" s="588"/>
      <c r="B114" s="65"/>
      <c r="C114" s="65"/>
      <c r="P114" s="60"/>
      <c r="Q114" s="65"/>
      <c r="R114" s="65"/>
      <c r="S114" s="60"/>
      <c r="T114" s="60"/>
      <c r="U114" s="60"/>
      <c r="V114" s="60"/>
      <c r="W114" s="65"/>
      <c r="X114" s="60"/>
      <c r="Y114" s="60"/>
      <c r="Z114" s="319"/>
      <c r="AA114" s="60"/>
      <c r="AB114" s="60"/>
      <c r="AC114" s="60"/>
      <c r="AD114" s="60"/>
      <c r="AE114" s="60"/>
      <c r="AF114" s="6"/>
      <c r="AG114" s="139"/>
      <c r="AH114" s="139"/>
      <c r="AI114" s="139"/>
      <c r="AJ114" s="139"/>
    </row>
    <row r="115" spans="1:36" s="209" customFormat="1" ht="11.25" customHeight="1">
      <c r="A115" s="588"/>
      <c r="B115" s="65"/>
      <c r="C115" s="65"/>
      <c r="P115" s="60"/>
      <c r="Q115" s="65"/>
      <c r="R115" s="65"/>
      <c r="S115" s="60"/>
      <c r="T115" s="60"/>
      <c r="U115" s="60"/>
      <c r="V115" s="60"/>
      <c r="W115" s="65"/>
      <c r="X115" s="60"/>
      <c r="Y115" s="60"/>
      <c r="Z115" s="319"/>
      <c r="AA115" s="60"/>
      <c r="AB115" s="60"/>
      <c r="AC115" s="60"/>
      <c r="AD115" s="60"/>
      <c r="AE115" s="60"/>
      <c r="AF115" s="6"/>
      <c r="AG115" s="139"/>
      <c r="AH115" s="139"/>
      <c r="AI115" s="139"/>
      <c r="AJ115" s="139"/>
    </row>
    <row r="116" spans="1:36" s="209" customFormat="1" ht="11.25" customHeight="1">
      <c r="A116" s="588"/>
      <c r="B116" s="65"/>
      <c r="C116" s="65"/>
      <c r="P116" s="60"/>
      <c r="Q116" s="65"/>
      <c r="R116" s="65"/>
      <c r="S116" s="60"/>
      <c r="T116" s="60"/>
      <c r="U116" s="60"/>
      <c r="V116" s="60"/>
      <c r="W116" s="65"/>
      <c r="X116" s="60"/>
      <c r="Y116" s="60"/>
      <c r="Z116" s="319"/>
      <c r="AA116" s="60"/>
      <c r="AB116" s="60"/>
      <c r="AC116" s="60"/>
      <c r="AD116" s="60"/>
      <c r="AE116" s="60"/>
      <c r="AF116" s="6"/>
      <c r="AG116" s="139"/>
      <c r="AH116" s="139"/>
      <c r="AI116" s="139"/>
      <c r="AJ116" s="139"/>
    </row>
    <row r="117" spans="1:36" s="209" customFormat="1" ht="11.25" customHeight="1">
      <c r="A117" s="588"/>
      <c r="B117" s="65"/>
      <c r="C117" s="65"/>
      <c r="P117" s="60"/>
      <c r="Q117" s="65"/>
      <c r="R117" s="65"/>
      <c r="S117" s="60"/>
      <c r="T117" s="60"/>
      <c r="U117" s="60"/>
      <c r="V117" s="60"/>
      <c r="W117" s="65"/>
      <c r="X117" s="60"/>
      <c r="Y117" s="60"/>
      <c r="Z117" s="319"/>
      <c r="AA117" s="60"/>
      <c r="AB117" s="60"/>
      <c r="AC117" s="60"/>
      <c r="AD117" s="60"/>
      <c r="AE117" s="60"/>
      <c r="AF117" s="6"/>
      <c r="AG117" s="139"/>
      <c r="AH117" s="139"/>
      <c r="AI117" s="139"/>
      <c r="AJ117" s="139"/>
    </row>
    <row r="118" spans="1:36" s="209" customFormat="1" ht="11.25" customHeight="1">
      <c r="A118" s="588"/>
      <c r="B118" s="65"/>
      <c r="C118" s="65"/>
      <c r="P118" s="60"/>
      <c r="Q118" s="65"/>
      <c r="R118" s="65"/>
      <c r="S118" s="60"/>
      <c r="T118" s="60"/>
      <c r="U118" s="60"/>
      <c r="V118" s="60"/>
      <c r="W118" s="65"/>
      <c r="X118" s="60"/>
      <c r="Y118" s="60"/>
      <c r="Z118" s="319"/>
      <c r="AA118" s="60"/>
      <c r="AB118" s="60"/>
      <c r="AC118" s="60"/>
      <c r="AD118" s="60"/>
      <c r="AE118" s="60"/>
      <c r="AF118" s="6"/>
      <c r="AG118" s="139"/>
      <c r="AH118" s="139"/>
      <c r="AI118" s="139"/>
      <c r="AJ118" s="139"/>
    </row>
    <row r="119" spans="1:36" s="209" customFormat="1" ht="11.25" customHeight="1">
      <c r="A119" s="588"/>
      <c r="B119" s="65"/>
      <c r="C119" s="65"/>
      <c r="P119" s="60"/>
      <c r="Q119" s="65"/>
      <c r="R119" s="65"/>
      <c r="S119" s="60"/>
      <c r="T119" s="60"/>
      <c r="U119" s="60"/>
      <c r="V119" s="60"/>
      <c r="W119" s="65"/>
      <c r="X119" s="60"/>
      <c r="Y119" s="60"/>
      <c r="Z119" s="319"/>
      <c r="AA119" s="60"/>
      <c r="AB119" s="60"/>
      <c r="AC119" s="60"/>
      <c r="AD119" s="60"/>
      <c r="AE119" s="60"/>
      <c r="AF119" s="6"/>
      <c r="AG119" s="139"/>
      <c r="AH119" s="139"/>
      <c r="AI119" s="139"/>
      <c r="AJ119" s="139"/>
    </row>
    <row r="120" spans="1:36" s="209" customFormat="1" ht="11.25" customHeight="1">
      <c r="A120" s="588"/>
      <c r="B120" s="65"/>
      <c r="C120" s="65"/>
      <c r="P120" s="60"/>
      <c r="Q120" s="65"/>
      <c r="R120" s="65"/>
      <c r="S120" s="60"/>
      <c r="T120" s="60"/>
      <c r="U120" s="60"/>
      <c r="V120" s="60"/>
      <c r="W120" s="65"/>
      <c r="X120" s="60"/>
      <c r="Y120" s="60"/>
      <c r="Z120" s="319"/>
      <c r="AA120" s="60"/>
      <c r="AB120" s="60"/>
      <c r="AC120" s="60"/>
      <c r="AD120" s="60"/>
      <c r="AE120" s="60"/>
      <c r="AF120" s="6"/>
      <c r="AG120" s="139"/>
      <c r="AH120" s="139"/>
      <c r="AI120" s="139"/>
      <c r="AJ120" s="139"/>
    </row>
    <row r="121" spans="1:36" s="209" customFormat="1" ht="11.25" customHeight="1">
      <c r="A121" s="588"/>
      <c r="B121" s="65"/>
      <c r="C121" s="65"/>
      <c r="P121" s="60"/>
      <c r="Q121" s="65"/>
      <c r="R121" s="65"/>
      <c r="S121" s="60"/>
      <c r="T121" s="60"/>
      <c r="U121" s="60"/>
      <c r="V121" s="60"/>
      <c r="W121" s="65"/>
      <c r="X121" s="60"/>
      <c r="Y121" s="60"/>
      <c r="Z121" s="319"/>
      <c r="AA121" s="60"/>
      <c r="AB121" s="60"/>
      <c r="AC121" s="60"/>
      <c r="AD121" s="60"/>
      <c r="AE121" s="60"/>
      <c r="AF121" s="6"/>
      <c r="AG121" s="139"/>
      <c r="AH121" s="139"/>
      <c r="AI121" s="139"/>
      <c r="AJ121" s="139"/>
    </row>
    <row r="122" spans="1:36" s="209" customFormat="1" ht="11.25" customHeight="1">
      <c r="A122" s="588"/>
      <c r="B122" s="65"/>
      <c r="C122" s="65"/>
      <c r="P122" s="60"/>
      <c r="Q122" s="65"/>
      <c r="R122" s="65"/>
      <c r="S122" s="60"/>
      <c r="T122" s="60"/>
      <c r="U122" s="60"/>
      <c r="V122" s="60"/>
      <c r="W122" s="65"/>
      <c r="X122" s="60"/>
      <c r="Y122" s="60"/>
      <c r="Z122" s="319"/>
      <c r="AA122" s="60"/>
      <c r="AB122" s="60"/>
      <c r="AC122" s="60"/>
      <c r="AD122" s="60"/>
      <c r="AE122" s="60"/>
      <c r="AF122" s="6"/>
      <c r="AG122" s="139"/>
      <c r="AH122" s="139"/>
      <c r="AI122" s="139"/>
      <c r="AJ122" s="139"/>
    </row>
    <row r="123" spans="1:36" s="209" customFormat="1" ht="11.25" customHeight="1">
      <c r="A123" s="588"/>
      <c r="B123" s="65"/>
      <c r="C123" s="65"/>
      <c r="P123" s="60"/>
      <c r="Q123" s="65"/>
      <c r="R123" s="65"/>
      <c r="S123" s="60"/>
      <c r="T123" s="60"/>
      <c r="U123" s="60"/>
      <c r="V123" s="60"/>
      <c r="W123" s="65"/>
      <c r="X123" s="60"/>
      <c r="Y123" s="60"/>
      <c r="Z123" s="319"/>
      <c r="AA123" s="60"/>
      <c r="AB123" s="60"/>
      <c r="AC123" s="60"/>
      <c r="AD123" s="60"/>
      <c r="AE123" s="60"/>
      <c r="AF123" s="6"/>
      <c r="AG123" s="139"/>
      <c r="AH123" s="139"/>
      <c r="AI123" s="139"/>
      <c r="AJ123" s="139"/>
    </row>
    <row r="124" spans="1:36" s="209" customFormat="1" ht="11.25" customHeight="1">
      <c r="A124" s="588"/>
      <c r="B124" s="65"/>
      <c r="C124" s="65"/>
      <c r="P124" s="60"/>
      <c r="Q124" s="65"/>
      <c r="R124" s="65"/>
      <c r="S124" s="60"/>
      <c r="T124" s="60"/>
      <c r="U124" s="60"/>
      <c r="V124" s="60"/>
      <c r="W124" s="65"/>
      <c r="X124" s="60"/>
      <c r="Y124" s="60"/>
      <c r="Z124" s="319"/>
      <c r="AA124" s="60"/>
      <c r="AB124" s="60"/>
      <c r="AC124" s="60"/>
      <c r="AD124" s="60"/>
      <c r="AE124" s="60"/>
      <c r="AF124" s="6"/>
      <c r="AG124" s="139"/>
      <c r="AH124" s="139"/>
      <c r="AI124" s="139"/>
      <c r="AJ124" s="139"/>
    </row>
    <row r="125" spans="1:36" s="209" customFormat="1" ht="11.25" customHeight="1">
      <c r="A125" s="588"/>
      <c r="B125" s="65"/>
      <c r="C125" s="65"/>
      <c r="P125" s="60"/>
      <c r="Q125" s="65"/>
      <c r="R125" s="65"/>
      <c r="S125" s="60"/>
      <c r="T125" s="60"/>
      <c r="U125" s="60"/>
      <c r="V125" s="60"/>
      <c r="W125" s="65"/>
      <c r="X125" s="60"/>
      <c r="Y125" s="60"/>
      <c r="Z125" s="319"/>
      <c r="AA125" s="60"/>
      <c r="AB125" s="60"/>
      <c r="AC125" s="60"/>
      <c r="AD125" s="60"/>
      <c r="AE125" s="60"/>
      <c r="AF125" s="6"/>
      <c r="AG125" s="139"/>
      <c r="AH125" s="139"/>
      <c r="AI125" s="139"/>
      <c r="AJ125" s="139"/>
    </row>
    <row r="126" spans="1:36" s="209" customFormat="1" ht="11.25" customHeight="1">
      <c r="A126" s="588"/>
      <c r="B126" s="65"/>
      <c r="C126" s="65"/>
      <c r="P126" s="60"/>
      <c r="Q126" s="65"/>
      <c r="R126" s="65"/>
      <c r="S126" s="60"/>
      <c r="T126" s="60"/>
      <c r="U126" s="60"/>
      <c r="V126" s="60"/>
      <c r="W126" s="65"/>
      <c r="X126" s="60"/>
      <c r="Y126" s="60"/>
      <c r="Z126" s="319"/>
      <c r="AA126" s="60"/>
      <c r="AB126" s="60"/>
      <c r="AC126" s="60"/>
      <c r="AD126" s="60"/>
      <c r="AE126" s="60"/>
      <c r="AF126" s="6"/>
      <c r="AG126" s="139"/>
      <c r="AH126" s="139"/>
      <c r="AI126" s="139"/>
      <c r="AJ126" s="139"/>
    </row>
    <row r="127" spans="1:36" s="209" customFormat="1" ht="11.25" customHeight="1">
      <c r="A127" s="588"/>
      <c r="B127" s="65"/>
      <c r="C127" s="65"/>
      <c r="P127" s="60"/>
      <c r="Q127" s="65"/>
      <c r="R127" s="65"/>
      <c r="S127" s="60"/>
      <c r="T127" s="60"/>
      <c r="U127" s="60"/>
      <c r="V127" s="60"/>
      <c r="W127" s="65"/>
      <c r="X127" s="60"/>
      <c r="Y127" s="60"/>
      <c r="Z127" s="319"/>
      <c r="AA127" s="60"/>
      <c r="AB127" s="60"/>
      <c r="AC127" s="60"/>
      <c r="AD127" s="60"/>
      <c r="AE127" s="60"/>
      <c r="AF127" s="6"/>
      <c r="AG127" s="139"/>
      <c r="AH127" s="139"/>
      <c r="AI127" s="139"/>
      <c r="AJ127" s="139"/>
    </row>
    <row r="128" spans="1:36" s="209" customFormat="1" ht="11.25" customHeight="1">
      <c r="A128" s="588"/>
      <c r="B128" s="65"/>
      <c r="C128" s="65"/>
      <c r="P128" s="60"/>
      <c r="Q128" s="65"/>
      <c r="R128" s="65"/>
      <c r="S128" s="60"/>
      <c r="T128" s="60"/>
      <c r="U128" s="60"/>
      <c r="V128" s="60"/>
      <c r="W128" s="65"/>
      <c r="X128" s="60"/>
      <c r="Y128" s="60"/>
      <c r="Z128" s="319"/>
      <c r="AA128" s="60"/>
      <c r="AB128" s="60"/>
      <c r="AC128" s="60"/>
      <c r="AD128" s="60"/>
      <c r="AE128" s="60"/>
      <c r="AF128" s="6"/>
      <c r="AG128" s="139"/>
      <c r="AH128" s="139"/>
      <c r="AI128" s="139"/>
      <c r="AJ128" s="139"/>
    </row>
    <row r="129" spans="1:36" s="209" customFormat="1" ht="11.25" customHeight="1">
      <c r="A129" s="588"/>
      <c r="B129" s="65"/>
      <c r="C129" s="65"/>
      <c r="P129" s="60"/>
      <c r="Q129" s="65"/>
      <c r="R129" s="65"/>
      <c r="S129" s="60"/>
      <c r="T129" s="60"/>
      <c r="U129" s="60"/>
      <c r="V129" s="60"/>
      <c r="W129" s="65"/>
      <c r="X129" s="60"/>
      <c r="Y129" s="60"/>
      <c r="Z129" s="319"/>
      <c r="AA129" s="60"/>
      <c r="AB129" s="60"/>
      <c r="AC129" s="60"/>
      <c r="AD129" s="60"/>
      <c r="AE129" s="60"/>
      <c r="AF129" s="6"/>
      <c r="AG129" s="139"/>
      <c r="AH129" s="139"/>
      <c r="AI129" s="139"/>
      <c r="AJ129" s="139"/>
    </row>
    <row r="130" spans="1:36" s="209" customFormat="1" ht="11.25" customHeight="1">
      <c r="A130" s="588"/>
      <c r="B130" s="65"/>
      <c r="C130" s="65"/>
      <c r="P130" s="60"/>
      <c r="Q130" s="65"/>
      <c r="R130" s="65"/>
      <c r="S130" s="60"/>
      <c r="T130" s="60"/>
      <c r="U130" s="60"/>
      <c r="V130" s="60"/>
      <c r="W130" s="65"/>
      <c r="X130" s="60"/>
      <c r="Y130" s="60"/>
      <c r="Z130" s="319"/>
      <c r="AA130" s="60"/>
      <c r="AB130" s="60"/>
      <c r="AC130" s="60"/>
      <c r="AD130" s="60"/>
      <c r="AE130" s="60"/>
      <c r="AF130" s="6"/>
      <c r="AG130" s="139"/>
      <c r="AH130" s="139"/>
      <c r="AI130" s="139"/>
      <c r="AJ130" s="139"/>
    </row>
    <row r="131" spans="1:36" s="209" customFormat="1" ht="11.25" customHeight="1">
      <c r="A131" s="588"/>
      <c r="B131" s="65"/>
      <c r="C131" s="65"/>
      <c r="P131" s="60"/>
      <c r="Q131" s="65"/>
      <c r="R131" s="65"/>
      <c r="S131" s="60"/>
      <c r="T131" s="60"/>
      <c r="U131" s="60"/>
      <c r="V131" s="60"/>
      <c r="W131" s="65"/>
      <c r="X131" s="60"/>
      <c r="Y131" s="60"/>
      <c r="Z131" s="319"/>
      <c r="AA131" s="60"/>
      <c r="AB131" s="60"/>
      <c r="AC131" s="60"/>
      <c r="AD131" s="60"/>
      <c r="AE131" s="60"/>
      <c r="AF131" s="6"/>
      <c r="AG131" s="139"/>
      <c r="AH131" s="139"/>
      <c r="AI131" s="139"/>
      <c r="AJ131" s="139"/>
    </row>
    <row r="132" spans="1:36" s="209" customFormat="1" ht="11.25" customHeight="1">
      <c r="A132" s="588"/>
      <c r="B132" s="65"/>
      <c r="C132" s="65"/>
      <c r="P132" s="60"/>
      <c r="Q132" s="65"/>
      <c r="R132" s="65"/>
      <c r="S132" s="60"/>
      <c r="T132" s="60"/>
      <c r="U132" s="60"/>
      <c r="V132" s="60"/>
      <c r="W132" s="65"/>
      <c r="X132" s="60"/>
      <c r="Y132" s="60"/>
      <c r="Z132" s="319"/>
      <c r="AA132" s="60"/>
      <c r="AB132" s="60"/>
      <c r="AC132" s="60"/>
      <c r="AD132" s="60"/>
      <c r="AE132" s="60"/>
      <c r="AF132" s="6"/>
      <c r="AG132" s="139"/>
      <c r="AH132" s="139"/>
      <c r="AI132" s="139"/>
      <c r="AJ132" s="139"/>
    </row>
    <row r="133" spans="1:36" s="209" customFormat="1" ht="11.25" customHeight="1">
      <c r="A133" s="588"/>
      <c r="B133" s="65"/>
      <c r="C133" s="65"/>
      <c r="P133" s="60"/>
      <c r="Q133" s="65"/>
      <c r="R133" s="65"/>
      <c r="S133" s="60"/>
      <c r="T133" s="60"/>
      <c r="U133" s="60"/>
      <c r="V133" s="60"/>
      <c r="W133" s="65"/>
      <c r="X133" s="60"/>
      <c r="Y133" s="60"/>
      <c r="Z133" s="319"/>
      <c r="AA133" s="60"/>
      <c r="AB133" s="60"/>
      <c r="AC133" s="60"/>
      <c r="AD133" s="60"/>
      <c r="AE133" s="60"/>
      <c r="AF133" s="6"/>
      <c r="AG133" s="139"/>
      <c r="AH133" s="139"/>
      <c r="AI133" s="139"/>
      <c r="AJ133" s="139"/>
    </row>
    <row r="134" spans="1:36" s="209" customFormat="1" ht="11.25" customHeight="1">
      <c r="A134" s="588"/>
      <c r="B134" s="65"/>
      <c r="C134" s="65"/>
      <c r="P134" s="60"/>
      <c r="Q134" s="65"/>
      <c r="R134" s="65"/>
      <c r="S134" s="60"/>
      <c r="T134" s="60"/>
      <c r="U134" s="60"/>
      <c r="V134" s="60"/>
      <c r="W134" s="65"/>
      <c r="X134" s="60"/>
      <c r="Y134" s="60"/>
      <c r="Z134" s="319"/>
      <c r="AA134" s="60"/>
      <c r="AB134" s="60"/>
      <c r="AC134" s="60"/>
      <c r="AD134" s="60"/>
      <c r="AE134" s="60"/>
      <c r="AF134" s="6"/>
      <c r="AG134" s="139"/>
      <c r="AH134" s="139"/>
      <c r="AI134" s="139"/>
      <c r="AJ134" s="139"/>
    </row>
    <row r="135" spans="1:36" s="209" customFormat="1" ht="11.25" customHeight="1">
      <c r="A135" s="588"/>
      <c r="B135" s="65"/>
      <c r="C135" s="65"/>
      <c r="P135" s="60"/>
      <c r="Q135" s="65"/>
      <c r="R135" s="65"/>
      <c r="S135" s="60"/>
      <c r="T135" s="60"/>
      <c r="U135" s="60"/>
      <c r="V135" s="60"/>
      <c r="W135" s="65"/>
      <c r="X135" s="60"/>
      <c r="Y135" s="60"/>
      <c r="Z135" s="319"/>
      <c r="AA135" s="60"/>
      <c r="AB135" s="60"/>
      <c r="AC135" s="60"/>
      <c r="AD135" s="60"/>
      <c r="AE135" s="60"/>
      <c r="AF135" s="6"/>
      <c r="AG135" s="139"/>
      <c r="AH135" s="139"/>
      <c r="AI135" s="139"/>
      <c r="AJ135" s="139"/>
    </row>
    <row r="136" spans="1:36" s="209" customFormat="1" ht="11.25" customHeight="1">
      <c r="A136" s="588"/>
      <c r="B136" s="65"/>
      <c r="C136" s="65"/>
      <c r="P136" s="60"/>
      <c r="Q136" s="65"/>
      <c r="R136" s="65"/>
      <c r="S136" s="60"/>
      <c r="T136" s="60"/>
      <c r="U136" s="60"/>
      <c r="V136" s="60"/>
      <c r="W136" s="65"/>
      <c r="X136" s="60"/>
      <c r="Y136" s="60"/>
      <c r="Z136" s="319"/>
      <c r="AA136" s="60"/>
      <c r="AB136" s="60"/>
      <c r="AC136" s="60"/>
      <c r="AD136" s="60"/>
      <c r="AE136" s="60"/>
      <c r="AF136" s="6"/>
      <c r="AG136" s="139"/>
      <c r="AH136" s="139"/>
      <c r="AI136" s="139"/>
      <c r="AJ136" s="139"/>
    </row>
    <row r="137" spans="1:36" s="209" customFormat="1" ht="11.25" customHeight="1">
      <c r="A137" s="588"/>
      <c r="B137" s="65"/>
      <c r="C137" s="65"/>
      <c r="P137" s="60"/>
      <c r="Q137" s="65"/>
      <c r="R137" s="65"/>
      <c r="S137" s="60"/>
      <c r="T137" s="60"/>
      <c r="U137" s="60"/>
      <c r="V137" s="60"/>
      <c r="W137" s="65"/>
      <c r="X137" s="60"/>
      <c r="Y137" s="60"/>
      <c r="Z137" s="319"/>
      <c r="AA137" s="60"/>
      <c r="AB137" s="60"/>
      <c r="AC137" s="60"/>
      <c r="AD137" s="60"/>
      <c r="AE137" s="60"/>
      <c r="AF137" s="6"/>
      <c r="AG137" s="139"/>
      <c r="AH137" s="139"/>
      <c r="AI137" s="139"/>
      <c r="AJ137" s="139"/>
    </row>
    <row r="138" spans="1:36" s="209" customFormat="1" ht="11.25" customHeight="1">
      <c r="A138" s="588"/>
      <c r="B138" s="65"/>
      <c r="C138" s="65"/>
      <c r="P138" s="60"/>
      <c r="Q138" s="65"/>
      <c r="R138" s="65"/>
      <c r="S138" s="60"/>
      <c r="T138" s="60"/>
      <c r="U138" s="60"/>
      <c r="V138" s="60"/>
      <c r="W138" s="65"/>
      <c r="X138" s="60"/>
      <c r="Y138" s="60"/>
      <c r="Z138" s="319"/>
      <c r="AA138" s="60"/>
      <c r="AB138" s="60"/>
      <c r="AC138" s="60"/>
      <c r="AD138" s="60"/>
      <c r="AE138" s="60"/>
      <c r="AF138" s="6"/>
      <c r="AG138" s="139"/>
      <c r="AH138" s="139"/>
      <c r="AI138" s="139"/>
      <c r="AJ138" s="139"/>
    </row>
    <row r="139" spans="1:36" s="209" customFormat="1" ht="11.25" customHeight="1">
      <c r="A139" s="588"/>
      <c r="B139" s="65"/>
      <c r="C139" s="65"/>
      <c r="P139" s="60"/>
      <c r="Q139" s="65"/>
      <c r="R139" s="65"/>
      <c r="S139" s="60"/>
      <c r="T139" s="60"/>
      <c r="U139" s="60"/>
      <c r="V139" s="60"/>
      <c r="W139" s="65"/>
      <c r="X139" s="60"/>
      <c r="Y139" s="60"/>
      <c r="Z139" s="319"/>
      <c r="AA139" s="60"/>
      <c r="AB139" s="60"/>
      <c r="AC139" s="60"/>
      <c r="AD139" s="60"/>
      <c r="AE139" s="60"/>
      <c r="AF139" s="6"/>
      <c r="AG139" s="139"/>
      <c r="AH139" s="139"/>
      <c r="AI139" s="139"/>
      <c r="AJ139" s="139"/>
    </row>
    <row r="140" spans="1:36" s="209" customFormat="1" ht="11.25" customHeight="1">
      <c r="A140" s="588"/>
      <c r="B140" s="65"/>
      <c r="C140" s="65"/>
      <c r="P140" s="60"/>
      <c r="Q140" s="65"/>
      <c r="R140" s="65"/>
      <c r="S140" s="60"/>
      <c r="T140" s="60"/>
      <c r="U140" s="60"/>
      <c r="V140" s="60"/>
      <c r="W140" s="65"/>
      <c r="X140" s="60"/>
      <c r="Y140" s="60"/>
      <c r="Z140" s="319"/>
      <c r="AA140" s="60"/>
      <c r="AB140" s="60"/>
      <c r="AC140" s="60"/>
      <c r="AD140" s="60"/>
      <c r="AE140" s="60"/>
      <c r="AF140" s="6"/>
      <c r="AG140" s="139"/>
      <c r="AH140" s="139"/>
      <c r="AI140" s="139"/>
      <c r="AJ140" s="139"/>
    </row>
    <row r="141" spans="1:36" s="209" customFormat="1" ht="11.25" customHeight="1">
      <c r="A141" s="588"/>
      <c r="B141" s="65"/>
      <c r="C141" s="65"/>
      <c r="P141" s="60"/>
      <c r="Q141" s="65"/>
      <c r="R141" s="65"/>
      <c r="S141" s="60"/>
      <c r="T141" s="60"/>
      <c r="U141" s="60"/>
      <c r="V141" s="60"/>
      <c r="W141" s="65"/>
      <c r="X141" s="60"/>
      <c r="Y141" s="60"/>
      <c r="Z141" s="319"/>
      <c r="AA141" s="60"/>
      <c r="AB141" s="60"/>
      <c r="AC141" s="60"/>
      <c r="AD141" s="60"/>
      <c r="AE141" s="60"/>
      <c r="AF141" s="6"/>
      <c r="AG141" s="139"/>
      <c r="AH141" s="139"/>
      <c r="AI141" s="139"/>
      <c r="AJ141" s="139"/>
    </row>
    <row r="142" spans="1:36" s="209" customFormat="1" ht="11.25" customHeight="1">
      <c r="A142" s="588"/>
      <c r="B142" s="65"/>
      <c r="C142" s="65"/>
      <c r="P142" s="60"/>
      <c r="Q142" s="65"/>
      <c r="R142" s="65"/>
      <c r="S142" s="60"/>
      <c r="T142" s="60"/>
      <c r="U142" s="60"/>
      <c r="V142" s="60"/>
      <c r="W142" s="65"/>
      <c r="X142" s="60"/>
      <c r="Y142" s="60"/>
      <c r="Z142" s="319"/>
      <c r="AA142" s="60"/>
      <c r="AB142" s="60"/>
      <c r="AC142" s="60"/>
      <c r="AD142" s="60"/>
      <c r="AE142" s="60"/>
      <c r="AF142" s="6"/>
      <c r="AG142" s="139"/>
      <c r="AH142" s="139"/>
      <c r="AI142" s="139"/>
      <c r="AJ142" s="139"/>
    </row>
    <row r="143" spans="1:36" s="209" customFormat="1" ht="11.25" customHeight="1">
      <c r="A143" s="588"/>
      <c r="B143" s="65"/>
      <c r="C143" s="65"/>
      <c r="P143" s="60"/>
      <c r="Q143" s="65"/>
      <c r="R143" s="65"/>
      <c r="S143" s="60"/>
      <c r="T143" s="60"/>
      <c r="U143" s="60"/>
      <c r="V143" s="60"/>
      <c r="W143" s="65"/>
      <c r="X143" s="60"/>
      <c r="Y143" s="60"/>
      <c r="Z143" s="319"/>
      <c r="AA143" s="60"/>
      <c r="AB143" s="60"/>
      <c r="AC143" s="60"/>
      <c r="AD143" s="60"/>
      <c r="AE143" s="60"/>
      <c r="AF143" s="6"/>
      <c r="AG143" s="139"/>
      <c r="AH143" s="139"/>
      <c r="AI143" s="139"/>
      <c r="AJ143" s="139"/>
    </row>
    <row r="144" spans="1:36" s="209" customFormat="1" ht="11.25" customHeight="1">
      <c r="A144" s="588"/>
      <c r="B144" s="65"/>
      <c r="C144" s="65"/>
      <c r="P144" s="60"/>
      <c r="Q144" s="65"/>
      <c r="R144" s="65"/>
      <c r="S144" s="60"/>
      <c r="T144" s="60"/>
      <c r="U144" s="60"/>
      <c r="V144" s="60"/>
      <c r="W144" s="65"/>
      <c r="X144" s="60"/>
      <c r="Y144" s="60"/>
      <c r="Z144" s="319"/>
      <c r="AA144" s="60"/>
      <c r="AB144" s="60"/>
      <c r="AC144" s="60"/>
      <c r="AD144" s="60"/>
      <c r="AE144" s="60"/>
      <c r="AF144" s="6"/>
      <c r="AG144" s="139"/>
      <c r="AH144" s="139"/>
      <c r="AI144" s="139"/>
      <c r="AJ144" s="139"/>
    </row>
    <row r="145" spans="1:36" s="209" customFormat="1" ht="11.25" customHeight="1">
      <c r="A145" s="588"/>
      <c r="B145" s="65"/>
      <c r="C145" s="65"/>
      <c r="P145" s="60"/>
      <c r="Q145" s="65"/>
      <c r="R145" s="65"/>
      <c r="S145" s="60"/>
      <c r="T145" s="60"/>
      <c r="U145" s="60"/>
      <c r="V145" s="60"/>
      <c r="W145" s="65"/>
      <c r="X145" s="60"/>
      <c r="Y145" s="60"/>
      <c r="Z145" s="319"/>
      <c r="AA145" s="60"/>
      <c r="AB145" s="60"/>
      <c r="AC145" s="60"/>
      <c r="AD145" s="60"/>
      <c r="AE145" s="60"/>
      <c r="AF145" s="6"/>
      <c r="AG145" s="139"/>
      <c r="AH145" s="139"/>
      <c r="AI145" s="139"/>
      <c r="AJ145" s="139"/>
    </row>
    <row r="146" spans="1:36" s="209" customFormat="1" ht="11.25" customHeight="1">
      <c r="A146" s="588"/>
      <c r="B146" s="65"/>
      <c r="C146" s="65"/>
      <c r="P146" s="60"/>
      <c r="Q146" s="65"/>
      <c r="R146" s="65"/>
      <c r="S146" s="60"/>
      <c r="T146" s="60"/>
      <c r="U146" s="60"/>
      <c r="V146" s="60"/>
      <c r="W146" s="65"/>
      <c r="X146" s="60"/>
      <c r="Y146" s="60"/>
      <c r="Z146" s="319"/>
      <c r="AA146" s="60"/>
      <c r="AB146" s="60"/>
      <c r="AC146" s="60"/>
      <c r="AD146" s="60"/>
      <c r="AE146" s="60"/>
      <c r="AF146" s="6"/>
      <c r="AG146" s="139"/>
      <c r="AH146" s="139"/>
      <c r="AI146" s="139"/>
      <c r="AJ146" s="139"/>
    </row>
    <row r="147" spans="1:36" s="209" customFormat="1" ht="11.25" customHeight="1">
      <c r="A147" s="588"/>
      <c r="B147" s="65"/>
      <c r="C147" s="65"/>
      <c r="P147" s="60"/>
      <c r="Q147" s="65"/>
      <c r="R147" s="65"/>
      <c r="S147" s="60"/>
      <c r="T147" s="60"/>
      <c r="U147" s="60"/>
      <c r="V147" s="60"/>
      <c r="W147" s="65"/>
      <c r="X147" s="60"/>
      <c r="Y147" s="60"/>
      <c r="Z147" s="319"/>
      <c r="AA147" s="60"/>
      <c r="AB147" s="60"/>
      <c r="AC147" s="60"/>
      <c r="AD147" s="60"/>
      <c r="AE147" s="60"/>
      <c r="AF147" s="6"/>
      <c r="AG147" s="139"/>
      <c r="AH147" s="139"/>
      <c r="AI147" s="139"/>
      <c r="AJ147" s="139"/>
    </row>
    <row r="148" spans="1:36" s="209" customFormat="1" ht="11.25" customHeight="1">
      <c r="A148" s="588"/>
      <c r="B148" s="65"/>
      <c r="C148" s="65"/>
      <c r="P148" s="60"/>
      <c r="Q148" s="65"/>
      <c r="R148" s="65"/>
      <c r="S148" s="60"/>
      <c r="T148" s="60"/>
      <c r="U148" s="60"/>
      <c r="V148" s="60"/>
      <c r="W148" s="65"/>
      <c r="X148" s="60"/>
      <c r="Y148" s="60"/>
      <c r="Z148" s="319"/>
      <c r="AA148" s="60"/>
      <c r="AB148" s="60"/>
      <c r="AC148" s="60"/>
      <c r="AD148" s="60"/>
      <c r="AE148" s="60"/>
      <c r="AF148" s="6"/>
      <c r="AG148" s="139"/>
      <c r="AH148" s="139"/>
      <c r="AI148" s="139"/>
      <c r="AJ148" s="139"/>
    </row>
    <row r="149" spans="1:36" s="209" customFormat="1" ht="11.25" customHeight="1">
      <c r="A149" s="588"/>
      <c r="B149" s="65"/>
      <c r="C149" s="65"/>
      <c r="P149" s="60"/>
      <c r="Q149" s="65"/>
      <c r="R149" s="65"/>
      <c r="S149" s="60"/>
      <c r="T149" s="60"/>
      <c r="U149" s="60"/>
      <c r="V149" s="60"/>
      <c r="W149" s="65"/>
      <c r="X149" s="60"/>
      <c r="Y149" s="60"/>
      <c r="Z149" s="319"/>
      <c r="AA149" s="60"/>
      <c r="AB149" s="60"/>
      <c r="AC149" s="60"/>
      <c r="AD149" s="60"/>
      <c r="AE149" s="60"/>
      <c r="AF149" s="6"/>
      <c r="AG149" s="139"/>
      <c r="AH149" s="139"/>
      <c r="AI149" s="139"/>
      <c r="AJ149" s="139"/>
    </row>
    <row r="150" spans="1:36" s="209" customFormat="1" ht="11.25" customHeight="1">
      <c r="A150" s="588"/>
      <c r="B150" s="65"/>
      <c r="C150" s="65"/>
      <c r="P150" s="60"/>
      <c r="Q150" s="65"/>
      <c r="R150" s="65"/>
      <c r="S150" s="60"/>
      <c r="T150" s="60"/>
      <c r="U150" s="60"/>
      <c r="V150" s="60"/>
      <c r="W150" s="65"/>
      <c r="X150" s="60"/>
      <c r="Y150" s="60"/>
      <c r="Z150" s="319"/>
      <c r="AA150" s="60"/>
      <c r="AB150" s="60"/>
      <c r="AC150" s="60"/>
      <c r="AD150" s="60"/>
      <c r="AE150" s="60"/>
      <c r="AF150" s="6"/>
      <c r="AG150" s="139"/>
      <c r="AH150" s="139"/>
      <c r="AI150" s="139"/>
      <c r="AJ150" s="139"/>
    </row>
    <row r="151" spans="1:36" s="209" customFormat="1" ht="11.25" customHeight="1">
      <c r="A151" s="588"/>
      <c r="B151" s="65"/>
      <c r="C151" s="65"/>
      <c r="P151" s="60"/>
      <c r="Q151" s="65"/>
      <c r="R151" s="65"/>
      <c r="S151" s="60"/>
      <c r="T151" s="60"/>
      <c r="U151" s="60"/>
      <c r="V151" s="60"/>
      <c r="W151" s="65"/>
      <c r="X151" s="60"/>
      <c r="Y151" s="60"/>
      <c r="Z151" s="319"/>
      <c r="AA151" s="60"/>
      <c r="AB151" s="60"/>
      <c r="AC151" s="60"/>
      <c r="AD151" s="60"/>
      <c r="AE151" s="60"/>
      <c r="AF151" s="6"/>
      <c r="AG151" s="139"/>
      <c r="AH151" s="139"/>
      <c r="AI151" s="139"/>
      <c r="AJ151" s="139"/>
    </row>
    <row r="152" spans="1:36" s="209" customFormat="1" ht="11.25" customHeight="1">
      <c r="A152" s="588"/>
      <c r="B152" s="65"/>
      <c r="C152" s="65"/>
      <c r="P152" s="60"/>
      <c r="Q152" s="65"/>
      <c r="R152" s="65"/>
      <c r="S152" s="60"/>
      <c r="T152" s="60"/>
      <c r="U152" s="60"/>
      <c r="V152" s="60"/>
      <c r="W152" s="65"/>
      <c r="X152" s="60"/>
      <c r="Y152" s="60"/>
      <c r="Z152" s="319"/>
      <c r="AA152" s="60"/>
      <c r="AB152" s="60"/>
      <c r="AC152" s="60"/>
      <c r="AD152" s="60"/>
      <c r="AE152" s="60"/>
      <c r="AF152" s="6"/>
      <c r="AG152" s="139"/>
      <c r="AH152" s="139"/>
      <c r="AI152" s="139"/>
      <c r="AJ152" s="139"/>
    </row>
    <row r="153" spans="1:36" s="209" customFormat="1" ht="11.25" customHeight="1">
      <c r="A153" s="588"/>
      <c r="B153" s="65"/>
      <c r="C153" s="65"/>
      <c r="P153" s="60"/>
      <c r="Q153" s="65"/>
      <c r="R153" s="65"/>
      <c r="S153" s="60"/>
      <c r="T153" s="60"/>
      <c r="U153" s="60"/>
      <c r="V153" s="60"/>
      <c r="W153" s="65"/>
      <c r="X153" s="60"/>
      <c r="Y153" s="60"/>
      <c r="Z153" s="319"/>
      <c r="AA153" s="60"/>
      <c r="AB153" s="60"/>
      <c r="AC153" s="60"/>
      <c r="AD153" s="60"/>
      <c r="AE153" s="60"/>
      <c r="AF153" s="6"/>
      <c r="AG153" s="139"/>
      <c r="AH153" s="139"/>
      <c r="AI153" s="139"/>
      <c r="AJ153" s="139"/>
    </row>
    <row r="154" spans="1:36" s="209" customFormat="1" ht="11.25" customHeight="1">
      <c r="A154" s="588"/>
      <c r="B154" s="65"/>
      <c r="C154" s="65"/>
      <c r="P154" s="60"/>
      <c r="Q154" s="65"/>
      <c r="R154" s="65"/>
      <c r="S154" s="60"/>
      <c r="T154" s="60"/>
      <c r="U154" s="60"/>
      <c r="V154" s="60"/>
      <c r="W154" s="65"/>
      <c r="X154" s="60"/>
      <c r="Y154" s="60"/>
      <c r="Z154" s="319"/>
      <c r="AA154" s="60"/>
      <c r="AB154" s="60"/>
      <c r="AC154" s="60"/>
      <c r="AD154" s="60"/>
      <c r="AE154" s="60"/>
      <c r="AF154" s="6"/>
      <c r="AG154" s="139"/>
      <c r="AH154" s="139"/>
      <c r="AI154" s="139"/>
      <c r="AJ154" s="139"/>
    </row>
    <row r="155" spans="1:36" s="209" customFormat="1" ht="11.25" customHeight="1">
      <c r="A155" s="588"/>
      <c r="B155" s="65"/>
      <c r="C155" s="65"/>
      <c r="P155" s="60"/>
      <c r="Q155" s="65"/>
      <c r="R155" s="65"/>
      <c r="S155" s="60"/>
      <c r="T155" s="60"/>
      <c r="U155" s="60"/>
      <c r="V155" s="60"/>
      <c r="W155" s="65"/>
      <c r="X155" s="60"/>
      <c r="Y155" s="60"/>
      <c r="Z155" s="319"/>
      <c r="AA155" s="60"/>
      <c r="AB155" s="60"/>
      <c r="AC155" s="60"/>
      <c r="AD155" s="60"/>
      <c r="AE155" s="60"/>
      <c r="AF155" s="6"/>
      <c r="AG155" s="139"/>
      <c r="AH155" s="139"/>
      <c r="AI155" s="139"/>
      <c r="AJ155" s="139"/>
    </row>
    <row r="156" spans="1:36" s="209" customFormat="1" ht="11.25" customHeight="1">
      <c r="A156" s="588"/>
      <c r="B156" s="65"/>
      <c r="C156" s="65"/>
      <c r="P156" s="60"/>
      <c r="Q156" s="65"/>
      <c r="R156" s="65"/>
      <c r="S156" s="60"/>
      <c r="T156" s="60"/>
      <c r="U156" s="60"/>
      <c r="V156" s="60"/>
      <c r="W156" s="65"/>
      <c r="X156" s="60"/>
      <c r="Y156" s="60"/>
      <c r="Z156" s="319"/>
      <c r="AA156" s="60"/>
      <c r="AB156" s="60"/>
      <c r="AC156" s="60"/>
      <c r="AD156" s="60"/>
      <c r="AE156" s="60"/>
      <c r="AF156" s="6"/>
      <c r="AG156" s="139"/>
      <c r="AH156" s="139"/>
      <c r="AI156" s="139"/>
      <c r="AJ156" s="139"/>
    </row>
    <row r="157" spans="1:36" s="209" customFormat="1" ht="11.25" customHeight="1">
      <c r="A157" s="588"/>
      <c r="B157" s="65"/>
      <c r="C157" s="65"/>
      <c r="P157" s="60"/>
      <c r="Q157" s="65"/>
      <c r="R157" s="65"/>
      <c r="S157" s="60"/>
      <c r="T157" s="60"/>
      <c r="U157" s="60"/>
      <c r="V157" s="60"/>
      <c r="W157" s="65"/>
      <c r="X157" s="60"/>
      <c r="Y157" s="60"/>
      <c r="Z157" s="319"/>
      <c r="AA157" s="60"/>
      <c r="AB157" s="60"/>
      <c r="AC157" s="60"/>
      <c r="AD157" s="60"/>
      <c r="AE157" s="60"/>
      <c r="AF157" s="6"/>
      <c r="AG157" s="139"/>
      <c r="AH157" s="139"/>
      <c r="AI157" s="139"/>
      <c r="AJ157" s="139"/>
    </row>
    <row r="158" spans="1:36" s="209" customFormat="1" ht="11.25" customHeight="1">
      <c r="A158" s="588"/>
      <c r="B158" s="65"/>
      <c r="C158" s="65"/>
      <c r="P158" s="60"/>
      <c r="Q158" s="65"/>
      <c r="R158" s="65"/>
      <c r="S158" s="60"/>
      <c r="T158" s="60"/>
      <c r="U158" s="60"/>
      <c r="V158" s="60"/>
      <c r="W158" s="65"/>
      <c r="X158" s="60"/>
      <c r="Y158" s="60"/>
      <c r="Z158" s="319"/>
      <c r="AA158" s="60"/>
      <c r="AB158" s="60"/>
      <c r="AC158" s="60"/>
      <c r="AD158" s="60"/>
      <c r="AE158" s="60"/>
      <c r="AF158" s="6"/>
      <c r="AG158" s="139"/>
      <c r="AH158" s="139"/>
      <c r="AI158" s="139"/>
      <c r="AJ158" s="139"/>
    </row>
    <row r="159" spans="1:36" s="209" customFormat="1" ht="11.25" customHeight="1">
      <c r="A159" s="588"/>
      <c r="B159" s="65"/>
      <c r="C159" s="65"/>
      <c r="P159" s="60"/>
      <c r="Q159" s="65"/>
      <c r="R159" s="65"/>
      <c r="S159" s="60"/>
      <c r="T159" s="60"/>
      <c r="U159" s="60"/>
      <c r="V159" s="60"/>
      <c r="W159" s="65"/>
      <c r="X159" s="60"/>
      <c r="Y159" s="60"/>
      <c r="Z159" s="319"/>
      <c r="AA159" s="60"/>
      <c r="AB159" s="60"/>
      <c r="AC159" s="60"/>
      <c r="AD159" s="60"/>
      <c r="AE159" s="60"/>
      <c r="AF159" s="6"/>
      <c r="AG159" s="139"/>
      <c r="AH159" s="139"/>
      <c r="AI159" s="139"/>
      <c r="AJ159" s="139"/>
    </row>
    <row r="160" spans="1:36" s="209" customFormat="1" ht="11.25" customHeight="1">
      <c r="A160" s="588"/>
      <c r="B160" s="65"/>
      <c r="C160" s="65"/>
      <c r="P160" s="60"/>
      <c r="Q160" s="65"/>
      <c r="R160" s="65"/>
      <c r="S160" s="60"/>
      <c r="T160" s="60"/>
      <c r="U160" s="60"/>
      <c r="V160" s="60"/>
      <c r="W160" s="65"/>
      <c r="X160" s="60"/>
      <c r="Y160" s="60"/>
      <c r="Z160" s="319"/>
      <c r="AA160" s="60"/>
      <c r="AB160" s="60"/>
      <c r="AC160" s="60"/>
      <c r="AD160" s="60"/>
      <c r="AE160" s="60"/>
      <c r="AF160" s="6"/>
      <c r="AG160" s="139"/>
      <c r="AH160" s="139"/>
      <c r="AI160" s="139"/>
      <c r="AJ160" s="139"/>
    </row>
    <row r="161" spans="1:36" s="209" customFormat="1" ht="11.25" customHeight="1">
      <c r="A161" s="588"/>
      <c r="B161" s="65"/>
      <c r="C161" s="65"/>
      <c r="P161" s="60"/>
      <c r="Q161" s="65"/>
      <c r="R161" s="65"/>
      <c r="S161" s="60"/>
      <c r="T161" s="60"/>
      <c r="U161" s="60"/>
      <c r="V161" s="60"/>
      <c r="W161" s="65"/>
      <c r="X161" s="60"/>
      <c r="Y161" s="60"/>
      <c r="Z161" s="319"/>
      <c r="AA161" s="60"/>
      <c r="AB161" s="60"/>
      <c r="AC161" s="60"/>
      <c r="AD161" s="60"/>
      <c r="AE161" s="60"/>
      <c r="AF161" s="6"/>
      <c r="AG161" s="139"/>
      <c r="AH161" s="139"/>
      <c r="AI161" s="139"/>
      <c r="AJ161" s="139"/>
    </row>
    <row r="162" spans="1:36" s="209" customFormat="1" ht="11.25" customHeight="1">
      <c r="A162" s="588"/>
      <c r="B162" s="65"/>
      <c r="C162" s="65"/>
      <c r="P162" s="60"/>
      <c r="Q162" s="65"/>
      <c r="R162" s="65"/>
      <c r="S162" s="60"/>
      <c r="T162" s="60"/>
      <c r="U162" s="60"/>
      <c r="V162" s="60"/>
      <c r="W162" s="65"/>
      <c r="X162" s="60"/>
      <c r="Y162" s="60"/>
      <c r="Z162" s="319"/>
      <c r="AA162" s="60"/>
      <c r="AB162" s="60"/>
      <c r="AC162" s="60"/>
      <c r="AD162" s="60"/>
      <c r="AE162" s="60"/>
      <c r="AF162" s="6"/>
      <c r="AG162" s="139"/>
      <c r="AH162" s="139"/>
      <c r="AI162" s="139"/>
      <c r="AJ162" s="139"/>
    </row>
    <row r="163" spans="1:36" s="209" customFormat="1" ht="11.25" customHeight="1">
      <c r="A163" s="588"/>
      <c r="B163" s="65"/>
      <c r="C163" s="65"/>
      <c r="P163" s="60"/>
      <c r="Q163" s="65"/>
      <c r="R163" s="65"/>
      <c r="S163" s="60"/>
      <c r="T163" s="60"/>
      <c r="U163" s="60"/>
      <c r="V163" s="60"/>
      <c r="W163" s="65"/>
      <c r="X163" s="60"/>
      <c r="Y163" s="60"/>
      <c r="Z163" s="319"/>
      <c r="AA163" s="60"/>
      <c r="AB163" s="60"/>
      <c r="AC163" s="60"/>
      <c r="AD163" s="60"/>
      <c r="AE163" s="60"/>
      <c r="AF163" s="6"/>
      <c r="AG163" s="139"/>
      <c r="AH163" s="139"/>
      <c r="AI163" s="139"/>
      <c r="AJ163" s="139"/>
    </row>
    <row r="164" spans="1:36" s="209" customFormat="1" ht="11.25" customHeight="1">
      <c r="A164" s="588"/>
      <c r="B164" s="65"/>
      <c r="C164" s="65"/>
      <c r="P164" s="60"/>
      <c r="Q164" s="65"/>
      <c r="R164" s="65"/>
      <c r="S164" s="60"/>
      <c r="T164" s="60"/>
      <c r="U164" s="60"/>
      <c r="V164" s="60"/>
      <c r="W164" s="65"/>
      <c r="X164" s="60"/>
      <c r="Y164" s="60"/>
      <c r="Z164" s="319"/>
      <c r="AA164" s="60"/>
      <c r="AB164" s="60"/>
      <c r="AC164" s="60"/>
      <c r="AD164" s="60"/>
      <c r="AE164" s="60"/>
      <c r="AF164" s="6"/>
      <c r="AG164" s="139"/>
      <c r="AH164" s="139"/>
      <c r="AI164" s="139"/>
      <c r="AJ164" s="139"/>
    </row>
    <row r="165" spans="1:36" s="209" customFormat="1" ht="11.25" customHeight="1">
      <c r="A165" s="588"/>
      <c r="B165" s="65"/>
      <c r="C165" s="65"/>
      <c r="P165" s="60"/>
      <c r="Q165" s="65"/>
      <c r="R165" s="65"/>
      <c r="S165" s="60"/>
      <c r="T165" s="60"/>
      <c r="U165" s="60"/>
      <c r="V165" s="60"/>
      <c r="W165" s="65"/>
      <c r="X165" s="60"/>
      <c r="Y165" s="60"/>
      <c r="Z165" s="319"/>
      <c r="AA165" s="60"/>
      <c r="AB165" s="60"/>
      <c r="AC165" s="60"/>
      <c r="AD165" s="60"/>
      <c r="AE165" s="60"/>
      <c r="AF165" s="6"/>
      <c r="AG165" s="139"/>
      <c r="AH165" s="139"/>
      <c r="AI165" s="139"/>
      <c r="AJ165" s="139"/>
    </row>
    <row r="166" spans="1:36" s="209" customFormat="1" ht="11.25" customHeight="1">
      <c r="A166" s="588"/>
      <c r="B166" s="65"/>
      <c r="C166" s="65"/>
      <c r="P166" s="60"/>
      <c r="Q166" s="65"/>
      <c r="R166" s="65"/>
      <c r="S166" s="60"/>
      <c r="T166" s="60"/>
      <c r="U166" s="60"/>
      <c r="V166" s="60"/>
      <c r="W166" s="65"/>
      <c r="X166" s="60"/>
      <c r="Y166" s="60"/>
      <c r="Z166" s="319"/>
      <c r="AA166" s="60"/>
      <c r="AB166" s="60"/>
      <c r="AC166" s="60"/>
      <c r="AD166" s="60"/>
      <c r="AE166" s="60"/>
      <c r="AF166" s="6"/>
      <c r="AG166" s="139"/>
      <c r="AH166" s="139"/>
      <c r="AI166" s="139"/>
      <c r="AJ166" s="139"/>
    </row>
    <row r="167" spans="1:36" s="209" customFormat="1" ht="11.25" customHeight="1">
      <c r="A167" s="588"/>
      <c r="B167" s="65"/>
      <c r="C167" s="65"/>
      <c r="P167" s="60"/>
      <c r="Q167" s="65"/>
      <c r="R167" s="65"/>
      <c r="S167" s="60"/>
      <c r="T167" s="60"/>
      <c r="U167" s="60"/>
      <c r="V167" s="60"/>
      <c r="W167" s="65"/>
      <c r="X167" s="60"/>
      <c r="Y167" s="60"/>
      <c r="Z167" s="319"/>
      <c r="AA167" s="60"/>
      <c r="AB167" s="60"/>
      <c r="AC167" s="60"/>
      <c r="AD167" s="60"/>
      <c r="AE167" s="60"/>
      <c r="AF167" s="6"/>
      <c r="AG167" s="139"/>
      <c r="AH167" s="139"/>
      <c r="AI167" s="139"/>
      <c r="AJ167" s="139"/>
    </row>
    <row r="168" spans="1:36" s="209" customFormat="1" ht="11.25" customHeight="1">
      <c r="A168" s="588"/>
      <c r="B168" s="65"/>
      <c r="C168" s="65"/>
      <c r="P168" s="60"/>
      <c r="Q168" s="65"/>
      <c r="R168" s="65"/>
      <c r="S168" s="60"/>
      <c r="T168" s="60"/>
      <c r="U168" s="60"/>
      <c r="V168" s="60"/>
      <c r="W168" s="65"/>
      <c r="X168" s="60"/>
      <c r="Y168" s="60"/>
      <c r="Z168" s="319"/>
      <c r="AA168" s="60"/>
      <c r="AB168" s="60"/>
      <c r="AC168" s="60"/>
      <c r="AD168" s="60"/>
      <c r="AE168" s="60"/>
      <c r="AF168" s="6"/>
      <c r="AG168" s="139"/>
      <c r="AH168" s="139"/>
      <c r="AI168" s="139"/>
      <c r="AJ168" s="139"/>
    </row>
    <row r="169" spans="1:36" s="209" customFormat="1" ht="11.25" customHeight="1">
      <c r="A169" s="588"/>
      <c r="B169" s="65"/>
      <c r="C169" s="65"/>
      <c r="P169" s="60"/>
      <c r="Q169" s="65"/>
      <c r="R169" s="65"/>
      <c r="S169" s="60"/>
      <c r="T169" s="60"/>
      <c r="U169" s="60"/>
      <c r="V169" s="60"/>
      <c r="W169" s="65"/>
      <c r="X169" s="60"/>
      <c r="Y169" s="60"/>
      <c r="Z169" s="319"/>
      <c r="AA169" s="60"/>
      <c r="AB169" s="60"/>
      <c r="AC169" s="60"/>
      <c r="AD169" s="60"/>
      <c r="AE169" s="60"/>
      <c r="AF169" s="6"/>
      <c r="AG169" s="139"/>
      <c r="AH169" s="139"/>
      <c r="AI169" s="139"/>
      <c r="AJ169" s="139"/>
    </row>
    <row r="170" spans="1:36" s="209" customFormat="1" ht="11.25" customHeight="1">
      <c r="A170" s="588"/>
      <c r="B170" s="65"/>
      <c r="C170" s="65"/>
      <c r="P170" s="60"/>
      <c r="Q170" s="65"/>
      <c r="R170" s="65"/>
      <c r="S170" s="60"/>
      <c r="T170" s="60"/>
      <c r="U170" s="60"/>
      <c r="V170" s="60"/>
      <c r="W170" s="65"/>
      <c r="X170" s="60"/>
      <c r="Y170" s="60"/>
      <c r="Z170" s="319"/>
      <c r="AA170" s="60"/>
      <c r="AB170" s="60"/>
      <c r="AC170" s="60"/>
      <c r="AD170" s="60"/>
      <c r="AE170" s="60"/>
      <c r="AF170" s="6"/>
      <c r="AG170" s="139"/>
      <c r="AH170" s="139"/>
      <c r="AI170" s="139"/>
      <c r="AJ170" s="139"/>
    </row>
    <row r="171" spans="1:36" s="209" customFormat="1" ht="11.25" customHeight="1">
      <c r="A171" s="588"/>
      <c r="B171" s="65"/>
      <c r="C171" s="65"/>
      <c r="P171" s="60"/>
      <c r="Q171" s="65"/>
      <c r="R171" s="65"/>
      <c r="S171" s="60"/>
      <c r="T171" s="60"/>
      <c r="U171" s="60"/>
      <c r="V171" s="60"/>
      <c r="W171" s="65"/>
      <c r="X171" s="60"/>
      <c r="Y171" s="60"/>
      <c r="Z171" s="319"/>
      <c r="AA171" s="60"/>
      <c r="AB171" s="60"/>
      <c r="AC171" s="60"/>
      <c r="AD171" s="60"/>
      <c r="AE171" s="60"/>
      <c r="AF171" s="6"/>
      <c r="AG171" s="139"/>
      <c r="AH171" s="139"/>
      <c r="AI171" s="139"/>
      <c r="AJ171" s="139"/>
    </row>
    <row r="172" spans="1:36" s="209" customFormat="1" ht="11.25" customHeight="1">
      <c r="A172" s="588"/>
      <c r="B172" s="65"/>
      <c r="C172" s="65"/>
      <c r="P172" s="60"/>
      <c r="Q172" s="65"/>
      <c r="R172" s="65"/>
      <c r="S172" s="60"/>
      <c r="T172" s="60"/>
      <c r="U172" s="60"/>
      <c r="V172" s="60"/>
      <c r="W172" s="65"/>
      <c r="X172" s="60"/>
      <c r="Y172" s="60"/>
      <c r="Z172" s="319"/>
      <c r="AA172" s="60"/>
      <c r="AB172" s="60"/>
      <c r="AC172" s="60"/>
      <c r="AD172" s="60"/>
      <c r="AE172" s="60"/>
      <c r="AF172" s="6"/>
      <c r="AG172" s="139"/>
      <c r="AH172" s="139"/>
      <c r="AI172" s="139"/>
      <c r="AJ172" s="139"/>
    </row>
    <row r="173" spans="1:36" s="209" customFormat="1" ht="11.25" customHeight="1">
      <c r="A173" s="588"/>
      <c r="B173" s="65"/>
      <c r="C173" s="65"/>
      <c r="P173" s="60"/>
      <c r="Q173" s="65"/>
      <c r="R173" s="65"/>
      <c r="S173" s="60"/>
      <c r="T173" s="60"/>
      <c r="U173" s="60"/>
      <c r="V173" s="60"/>
      <c r="W173" s="65"/>
      <c r="X173" s="60"/>
      <c r="Y173" s="60"/>
      <c r="Z173" s="319"/>
      <c r="AA173" s="60"/>
      <c r="AB173" s="60"/>
      <c r="AC173" s="60"/>
      <c r="AD173" s="60"/>
      <c r="AE173" s="60"/>
      <c r="AF173" s="6"/>
      <c r="AG173" s="139"/>
      <c r="AH173" s="139"/>
      <c r="AI173" s="139"/>
      <c r="AJ173" s="139"/>
    </row>
    <row r="174" spans="1:36" s="209" customFormat="1" ht="11.25" customHeight="1">
      <c r="A174" s="588"/>
      <c r="B174" s="65"/>
      <c r="C174" s="65"/>
      <c r="P174" s="60"/>
      <c r="Q174" s="65"/>
      <c r="R174" s="65"/>
      <c r="S174" s="60"/>
      <c r="T174" s="60"/>
      <c r="U174" s="60"/>
      <c r="V174" s="60"/>
      <c r="W174" s="65"/>
      <c r="X174" s="60"/>
      <c r="Y174" s="60"/>
      <c r="Z174" s="319"/>
      <c r="AA174" s="60"/>
      <c r="AB174" s="60"/>
      <c r="AC174" s="60"/>
      <c r="AD174" s="60"/>
      <c r="AE174" s="60"/>
      <c r="AF174" s="6"/>
      <c r="AG174" s="139"/>
      <c r="AH174" s="139"/>
      <c r="AI174" s="139"/>
      <c r="AJ174" s="139"/>
    </row>
    <row r="175" spans="1:36" s="209" customFormat="1" ht="11.25" customHeight="1">
      <c r="A175" s="588"/>
      <c r="B175" s="65"/>
      <c r="C175" s="65"/>
      <c r="P175" s="60"/>
      <c r="Q175" s="65"/>
      <c r="R175" s="65"/>
      <c r="S175" s="60"/>
      <c r="T175" s="60"/>
      <c r="U175" s="60"/>
      <c r="V175" s="60"/>
      <c r="W175" s="65"/>
      <c r="X175" s="60"/>
      <c r="Y175" s="60"/>
      <c r="Z175" s="319"/>
      <c r="AA175" s="60"/>
      <c r="AB175" s="60"/>
      <c r="AC175" s="60"/>
      <c r="AD175" s="60"/>
      <c r="AE175" s="60"/>
      <c r="AF175" s="6"/>
      <c r="AG175" s="139"/>
      <c r="AH175" s="139"/>
      <c r="AI175" s="139"/>
      <c r="AJ175" s="139"/>
    </row>
    <row r="176" spans="1:36" s="209" customFormat="1" ht="11.25" customHeight="1">
      <c r="A176" s="588"/>
      <c r="B176" s="65"/>
      <c r="C176" s="65"/>
      <c r="P176" s="60"/>
      <c r="Q176" s="65"/>
      <c r="R176" s="65"/>
      <c r="S176" s="60"/>
      <c r="T176" s="60"/>
      <c r="U176" s="60"/>
      <c r="V176" s="60"/>
      <c r="W176" s="65"/>
      <c r="X176" s="60"/>
      <c r="Y176" s="60"/>
      <c r="Z176" s="319"/>
      <c r="AA176" s="60"/>
      <c r="AB176" s="60"/>
      <c r="AC176" s="60"/>
      <c r="AD176" s="60"/>
      <c r="AE176" s="60"/>
      <c r="AF176" s="6"/>
      <c r="AG176" s="139"/>
      <c r="AH176" s="139"/>
      <c r="AI176" s="139"/>
      <c r="AJ176" s="139"/>
    </row>
    <row r="177" spans="1:36" s="209" customFormat="1" ht="11.25" customHeight="1">
      <c r="A177" s="588"/>
      <c r="B177" s="65"/>
      <c r="C177" s="65"/>
      <c r="P177" s="60"/>
      <c r="Q177" s="65"/>
      <c r="R177" s="65"/>
      <c r="S177" s="60"/>
      <c r="T177" s="60"/>
      <c r="U177" s="60"/>
      <c r="V177" s="60"/>
      <c r="W177" s="65"/>
      <c r="X177" s="60"/>
      <c r="Y177" s="60"/>
      <c r="Z177" s="319"/>
      <c r="AA177" s="60"/>
      <c r="AB177" s="60"/>
      <c r="AC177" s="60"/>
      <c r="AD177" s="60"/>
      <c r="AE177" s="60"/>
      <c r="AF177" s="6"/>
      <c r="AG177" s="139"/>
      <c r="AH177" s="139"/>
      <c r="AI177" s="139"/>
      <c r="AJ177" s="139"/>
    </row>
    <row r="178" spans="1:36" s="209" customFormat="1" ht="11.25" customHeight="1">
      <c r="A178" s="588"/>
      <c r="B178" s="65"/>
      <c r="C178" s="65"/>
      <c r="P178" s="60"/>
      <c r="Q178" s="65"/>
      <c r="R178" s="65"/>
      <c r="S178" s="60"/>
      <c r="T178" s="60"/>
      <c r="U178" s="60"/>
      <c r="V178" s="60"/>
      <c r="W178" s="65"/>
      <c r="X178" s="60"/>
      <c r="Y178" s="60"/>
      <c r="Z178" s="319"/>
      <c r="AA178" s="60"/>
      <c r="AB178" s="60"/>
      <c r="AC178" s="60"/>
      <c r="AD178" s="60"/>
      <c r="AE178" s="60"/>
      <c r="AF178" s="6"/>
      <c r="AG178" s="139"/>
      <c r="AH178" s="139"/>
      <c r="AI178" s="139"/>
      <c r="AJ178" s="139"/>
    </row>
    <row r="179" spans="1:36" s="209" customFormat="1" ht="11.25" customHeight="1">
      <c r="A179" s="588"/>
      <c r="B179" s="65"/>
      <c r="C179" s="65"/>
      <c r="P179" s="60"/>
      <c r="Q179" s="65"/>
      <c r="R179" s="65"/>
      <c r="S179" s="60"/>
      <c r="T179" s="60"/>
      <c r="U179" s="60"/>
      <c r="V179" s="60"/>
      <c r="W179" s="65"/>
      <c r="X179" s="60"/>
      <c r="Y179" s="60"/>
      <c r="Z179" s="319"/>
      <c r="AA179" s="60"/>
      <c r="AB179" s="60"/>
      <c r="AC179" s="60"/>
      <c r="AD179" s="60"/>
      <c r="AE179" s="60"/>
      <c r="AF179" s="6"/>
      <c r="AG179" s="139"/>
      <c r="AH179" s="139"/>
      <c r="AI179" s="139"/>
      <c r="AJ179" s="139"/>
    </row>
    <row r="180" spans="1:36" s="209" customFormat="1" ht="11.25" customHeight="1">
      <c r="A180" s="588"/>
      <c r="B180" s="65"/>
      <c r="C180" s="65"/>
      <c r="P180" s="60"/>
      <c r="Q180" s="65"/>
      <c r="R180" s="65"/>
      <c r="S180" s="60"/>
      <c r="T180" s="60"/>
      <c r="U180" s="60"/>
      <c r="V180" s="60"/>
      <c r="W180" s="65"/>
      <c r="X180" s="60"/>
      <c r="Y180" s="60"/>
      <c r="Z180" s="319"/>
      <c r="AA180" s="60"/>
      <c r="AB180" s="60"/>
      <c r="AC180" s="60"/>
      <c r="AD180" s="60"/>
      <c r="AE180" s="60"/>
      <c r="AF180" s="6"/>
      <c r="AG180" s="139"/>
      <c r="AH180" s="139"/>
      <c r="AI180" s="139"/>
      <c r="AJ180" s="139"/>
    </row>
    <row r="181" spans="1:36" s="209" customFormat="1" ht="11.25" customHeight="1">
      <c r="A181" s="588"/>
      <c r="B181" s="65"/>
      <c r="C181" s="65"/>
      <c r="P181" s="60"/>
      <c r="Q181" s="65"/>
      <c r="R181" s="65"/>
      <c r="S181" s="60"/>
      <c r="T181" s="60"/>
      <c r="U181" s="60"/>
      <c r="V181" s="60"/>
      <c r="W181" s="65"/>
      <c r="X181" s="60"/>
      <c r="Y181" s="60"/>
      <c r="Z181" s="319"/>
      <c r="AA181" s="60"/>
      <c r="AB181" s="60"/>
      <c r="AC181" s="60"/>
      <c r="AD181" s="60"/>
      <c r="AE181" s="60"/>
      <c r="AF181" s="6"/>
      <c r="AG181" s="139"/>
      <c r="AH181" s="139"/>
      <c r="AI181" s="139"/>
      <c r="AJ181" s="139"/>
    </row>
    <row r="182" spans="1:36" s="209" customFormat="1" ht="11.25" customHeight="1">
      <c r="A182" s="588"/>
      <c r="B182" s="65"/>
      <c r="C182" s="65"/>
      <c r="P182" s="60"/>
      <c r="Q182" s="65"/>
      <c r="R182" s="65"/>
      <c r="S182" s="60"/>
      <c r="T182" s="60"/>
      <c r="U182" s="60"/>
      <c r="V182" s="60"/>
      <c r="W182" s="65"/>
      <c r="X182" s="60"/>
      <c r="Y182" s="60"/>
      <c r="Z182" s="319"/>
      <c r="AA182" s="60"/>
      <c r="AB182" s="60"/>
      <c r="AC182" s="60"/>
      <c r="AD182" s="60"/>
      <c r="AE182" s="60"/>
      <c r="AF182" s="6"/>
      <c r="AG182" s="139"/>
      <c r="AH182" s="139"/>
      <c r="AI182" s="139"/>
      <c r="AJ182" s="139"/>
    </row>
    <row r="183" spans="1:36" s="209" customFormat="1" ht="11.25" customHeight="1">
      <c r="A183" s="588"/>
      <c r="B183" s="65"/>
      <c r="C183" s="65"/>
      <c r="P183" s="60"/>
      <c r="Q183" s="65"/>
      <c r="R183" s="65"/>
      <c r="S183" s="60"/>
      <c r="T183" s="60"/>
      <c r="U183" s="60"/>
      <c r="V183" s="60"/>
      <c r="W183" s="65"/>
      <c r="X183" s="60"/>
      <c r="Y183" s="60"/>
      <c r="Z183" s="319"/>
      <c r="AA183" s="60"/>
      <c r="AB183" s="60"/>
      <c r="AC183" s="60"/>
      <c r="AD183" s="60"/>
      <c r="AE183" s="60"/>
      <c r="AF183" s="6"/>
      <c r="AG183" s="139"/>
      <c r="AH183" s="139"/>
      <c r="AI183" s="139"/>
      <c r="AJ183" s="139"/>
    </row>
    <row r="184" spans="1:36" s="209" customFormat="1" ht="11.25" customHeight="1">
      <c r="A184" s="588"/>
      <c r="B184" s="65"/>
      <c r="C184" s="65"/>
      <c r="P184" s="60"/>
      <c r="Q184" s="65"/>
      <c r="R184" s="65"/>
      <c r="S184" s="60"/>
      <c r="T184" s="60"/>
      <c r="U184" s="60"/>
      <c r="V184" s="60"/>
      <c r="W184" s="65"/>
      <c r="X184" s="60"/>
      <c r="Y184" s="60"/>
      <c r="Z184" s="319"/>
      <c r="AA184" s="60"/>
      <c r="AB184" s="60"/>
      <c r="AC184" s="60"/>
      <c r="AD184" s="60"/>
      <c r="AE184" s="60"/>
      <c r="AF184" s="6"/>
      <c r="AG184" s="139"/>
      <c r="AH184" s="139"/>
      <c r="AI184" s="139"/>
      <c r="AJ184" s="139"/>
    </row>
    <row r="185" spans="1:36" s="209" customFormat="1" ht="11.25" customHeight="1">
      <c r="A185" s="588"/>
      <c r="B185" s="65"/>
      <c r="C185" s="65"/>
      <c r="P185" s="60"/>
      <c r="Q185" s="65"/>
      <c r="R185" s="65"/>
      <c r="S185" s="60"/>
      <c r="T185" s="60"/>
      <c r="U185" s="60"/>
      <c r="V185" s="60"/>
      <c r="W185" s="65"/>
      <c r="X185" s="60"/>
      <c r="Y185" s="60"/>
      <c r="Z185" s="319"/>
      <c r="AA185" s="60"/>
      <c r="AB185" s="60"/>
      <c r="AC185" s="60"/>
      <c r="AD185" s="60"/>
      <c r="AE185" s="60"/>
      <c r="AF185" s="6"/>
      <c r="AG185" s="139"/>
      <c r="AH185" s="139"/>
      <c r="AI185" s="139"/>
      <c r="AJ185" s="139"/>
    </row>
    <row r="186" spans="1:36" s="209" customFormat="1" ht="11.25" customHeight="1">
      <c r="A186" s="588"/>
      <c r="B186" s="65"/>
      <c r="C186" s="65"/>
      <c r="P186" s="60"/>
      <c r="Q186" s="65"/>
      <c r="R186" s="65"/>
      <c r="S186" s="60"/>
      <c r="T186" s="60"/>
      <c r="U186" s="60"/>
      <c r="V186" s="60"/>
      <c r="W186" s="65"/>
      <c r="X186" s="60"/>
      <c r="Y186" s="60"/>
      <c r="Z186" s="319"/>
      <c r="AA186" s="60"/>
      <c r="AB186" s="60"/>
      <c r="AC186" s="60"/>
      <c r="AD186" s="60"/>
      <c r="AE186" s="60"/>
      <c r="AF186" s="6"/>
      <c r="AG186" s="139"/>
      <c r="AH186" s="139"/>
      <c r="AI186" s="139"/>
      <c r="AJ186" s="139"/>
    </row>
    <row r="187" spans="1:36" s="209" customFormat="1" ht="11.25" customHeight="1">
      <c r="A187" s="588"/>
      <c r="B187" s="65"/>
      <c r="C187" s="65"/>
      <c r="P187" s="60"/>
      <c r="Q187" s="65"/>
      <c r="R187" s="65"/>
      <c r="S187" s="60"/>
      <c r="T187" s="60"/>
      <c r="U187" s="60"/>
      <c r="V187" s="60"/>
      <c r="W187" s="65"/>
      <c r="X187" s="60"/>
      <c r="Y187" s="60"/>
      <c r="Z187" s="319"/>
      <c r="AA187" s="60"/>
      <c r="AB187" s="60"/>
      <c r="AC187" s="60"/>
      <c r="AD187" s="60"/>
      <c r="AE187" s="60"/>
      <c r="AF187" s="6"/>
      <c r="AG187" s="139"/>
      <c r="AH187" s="139"/>
      <c r="AI187" s="139"/>
      <c r="AJ187" s="139"/>
    </row>
    <row r="188" spans="1:36" s="209" customFormat="1" ht="11.25" customHeight="1">
      <c r="A188" s="588"/>
      <c r="B188" s="65"/>
      <c r="C188" s="65"/>
      <c r="P188" s="60"/>
      <c r="Q188" s="65"/>
      <c r="R188" s="65"/>
      <c r="S188" s="60"/>
      <c r="T188" s="60"/>
      <c r="U188" s="60"/>
      <c r="V188" s="60"/>
      <c r="W188" s="65"/>
      <c r="X188" s="60"/>
      <c r="Y188" s="60"/>
      <c r="Z188" s="319"/>
      <c r="AA188" s="60"/>
      <c r="AB188" s="60"/>
      <c r="AC188" s="60"/>
      <c r="AD188" s="60"/>
      <c r="AE188" s="60"/>
      <c r="AF188" s="6"/>
      <c r="AG188" s="139"/>
      <c r="AH188" s="139"/>
      <c r="AI188" s="139"/>
      <c r="AJ188" s="139"/>
    </row>
    <row r="189" spans="1:36" s="209" customFormat="1" ht="11.25" customHeight="1">
      <c r="A189" s="588"/>
      <c r="B189" s="65"/>
      <c r="C189" s="65"/>
      <c r="P189" s="60"/>
      <c r="Q189" s="65"/>
      <c r="R189" s="65"/>
      <c r="S189" s="60"/>
      <c r="T189" s="60"/>
      <c r="U189" s="60"/>
      <c r="V189" s="60"/>
      <c r="W189" s="65"/>
      <c r="X189" s="60"/>
      <c r="Y189" s="60"/>
      <c r="Z189" s="319"/>
      <c r="AA189" s="60"/>
      <c r="AB189" s="60"/>
      <c r="AC189" s="60"/>
      <c r="AD189" s="60"/>
      <c r="AE189" s="60"/>
      <c r="AF189" s="6"/>
      <c r="AG189" s="139"/>
      <c r="AH189" s="139"/>
      <c r="AI189" s="139"/>
      <c r="AJ189" s="139"/>
    </row>
    <row r="190" spans="1:36" s="209" customFormat="1" ht="11.25" customHeight="1">
      <c r="A190" s="588"/>
      <c r="B190" s="65"/>
      <c r="C190" s="65"/>
      <c r="P190" s="60"/>
      <c r="Q190" s="65"/>
      <c r="R190" s="65"/>
      <c r="S190" s="60"/>
      <c r="T190" s="60"/>
      <c r="U190" s="60"/>
      <c r="V190" s="60"/>
      <c r="W190" s="65"/>
      <c r="X190" s="60"/>
      <c r="Y190" s="60"/>
      <c r="Z190" s="319"/>
      <c r="AA190" s="60"/>
      <c r="AB190" s="60"/>
      <c r="AC190" s="60"/>
      <c r="AD190" s="60"/>
      <c r="AE190" s="60"/>
      <c r="AF190" s="6"/>
      <c r="AG190" s="139"/>
      <c r="AH190" s="139"/>
      <c r="AI190" s="139"/>
      <c r="AJ190" s="139"/>
    </row>
    <row r="191" spans="1:36" s="209" customFormat="1" ht="11.25" customHeight="1">
      <c r="A191" s="588"/>
      <c r="B191" s="65"/>
      <c r="C191" s="65"/>
      <c r="P191" s="60"/>
      <c r="Q191" s="65"/>
      <c r="R191" s="65"/>
      <c r="S191" s="60"/>
      <c r="T191" s="60"/>
      <c r="U191" s="60"/>
      <c r="V191" s="60"/>
      <c r="W191" s="65"/>
      <c r="X191" s="60"/>
      <c r="Y191" s="60"/>
      <c r="Z191" s="319"/>
      <c r="AA191" s="60"/>
      <c r="AB191" s="60"/>
      <c r="AC191" s="60"/>
      <c r="AD191" s="60"/>
      <c r="AE191" s="60"/>
      <c r="AF191" s="6"/>
      <c r="AG191" s="139"/>
      <c r="AH191" s="139"/>
      <c r="AI191" s="139"/>
      <c r="AJ191" s="139"/>
    </row>
    <row r="192" spans="1:36" s="209" customFormat="1" ht="11.25" customHeight="1">
      <c r="A192" s="588"/>
      <c r="B192" s="65"/>
      <c r="C192" s="65"/>
      <c r="P192" s="60"/>
      <c r="Q192" s="65"/>
      <c r="R192" s="65"/>
      <c r="S192" s="60"/>
      <c r="T192" s="60"/>
      <c r="U192" s="60"/>
      <c r="V192" s="60"/>
      <c r="W192" s="65"/>
      <c r="X192" s="60"/>
      <c r="Y192" s="60"/>
      <c r="Z192" s="319"/>
      <c r="AA192" s="60"/>
      <c r="AB192" s="60"/>
      <c r="AC192" s="60"/>
      <c r="AD192" s="60"/>
      <c r="AE192" s="60"/>
      <c r="AF192" s="6"/>
      <c r="AG192" s="139"/>
      <c r="AH192" s="139"/>
      <c r="AI192" s="139"/>
      <c r="AJ192" s="139"/>
    </row>
    <row r="193" spans="1:36" s="209" customFormat="1" ht="11.25" customHeight="1">
      <c r="A193" s="588"/>
      <c r="B193" s="65"/>
      <c r="C193" s="65"/>
      <c r="P193" s="60"/>
      <c r="Q193" s="65"/>
      <c r="R193" s="65"/>
      <c r="S193" s="60"/>
      <c r="T193" s="60"/>
      <c r="U193" s="60"/>
      <c r="V193" s="60"/>
      <c r="W193" s="65"/>
      <c r="X193" s="60"/>
      <c r="Y193" s="60"/>
      <c r="Z193" s="319"/>
      <c r="AA193" s="60"/>
      <c r="AB193" s="60"/>
      <c r="AC193" s="60"/>
      <c r="AD193" s="60"/>
      <c r="AE193" s="60"/>
      <c r="AF193" s="6"/>
      <c r="AG193" s="139"/>
      <c r="AH193" s="139"/>
      <c r="AI193" s="139"/>
      <c r="AJ193" s="139"/>
    </row>
    <row r="194" spans="1:36" s="209" customFormat="1" ht="11.25" customHeight="1">
      <c r="A194" s="588"/>
      <c r="B194" s="65"/>
      <c r="C194" s="65"/>
      <c r="P194" s="60"/>
      <c r="Q194" s="65"/>
      <c r="R194" s="65"/>
      <c r="S194" s="60"/>
      <c r="T194" s="60"/>
      <c r="U194" s="60"/>
      <c r="V194" s="60"/>
      <c r="W194" s="65"/>
      <c r="X194" s="60"/>
      <c r="Y194" s="60"/>
      <c r="Z194" s="319"/>
      <c r="AA194" s="60"/>
      <c r="AB194" s="60"/>
      <c r="AC194" s="60"/>
      <c r="AD194" s="60"/>
      <c r="AE194" s="60"/>
      <c r="AF194" s="6"/>
      <c r="AG194" s="139"/>
      <c r="AH194" s="139"/>
      <c r="AI194" s="139"/>
      <c r="AJ194" s="139"/>
    </row>
    <row r="195" spans="1:36" s="209" customFormat="1" ht="11.25" customHeight="1">
      <c r="A195" s="588"/>
      <c r="B195" s="65"/>
      <c r="C195" s="65"/>
      <c r="P195" s="60"/>
      <c r="Q195" s="65"/>
      <c r="R195" s="65"/>
      <c r="S195" s="60"/>
      <c r="T195" s="60"/>
      <c r="U195" s="60"/>
      <c r="V195" s="60"/>
      <c r="W195" s="65"/>
      <c r="X195" s="60"/>
      <c r="Y195" s="60"/>
      <c r="Z195" s="319"/>
      <c r="AA195" s="60"/>
      <c r="AB195" s="60"/>
      <c r="AC195" s="60"/>
      <c r="AD195" s="60"/>
      <c r="AE195" s="60"/>
      <c r="AF195" s="6"/>
      <c r="AG195" s="139"/>
      <c r="AH195" s="139"/>
      <c r="AI195" s="139"/>
      <c r="AJ195" s="139"/>
    </row>
    <row r="196" spans="1:36" s="209" customFormat="1" ht="11.25" customHeight="1">
      <c r="A196" s="588"/>
      <c r="B196" s="65"/>
      <c r="C196" s="65"/>
      <c r="P196" s="60"/>
      <c r="Q196" s="65"/>
      <c r="R196" s="65"/>
      <c r="S196" s="60"/>
      <c r="T196" s="60"/>
      <c r="U196" s="60"/>
      <c r="V196" s="60"/>
      <c r="W196" s="65"/>
      <c r="X196" s="60"/>
      <c r="Y196" s="60"/>
      <c r="Z196" s="319"/>
      <c r="AA196" s="60"/>
      <c r="AB196" s="60"/>
      <c r="AC196" s="60"/>
      <c r="AD196" s="60"/>
      <c r="AE196" s="60"/>
      <c r="AF196" s="6"/>
      <c r="AG196" s="139"/>
      <c r="AH196" s="139"/>
      <c r="AI196" s="139"/>
      <c r="AJ196" s="139"/>
    </row>
    <row r="197" spans="1:36" s="209" customFormat="1" ht="11.25" customHeight="1">
      <c r="A197" s="588"/>
      <c r="B197" s="65"/>
      <c r="C197" s="65"/>
      <c r="P197" s="60"/>
      <c r="Q197" s="65"/>
      <c r="R197" s="65"/>
      <c r="S197" s="60"/>
      <c r="T197" s="60"/>
      <c r="U197" s="60"/>
      <c r="V197" s="60"/>
      <c r="W197" s="65"/>
      <c r="X197" s="60"/>
      <c r="Y197" s="60"/>
      <c r="Z197" s="319"/>
      <c r="AA197" s="60"/>
      <c r="AB197" s="60"/>
      <c r="AC197" s="60"/>
      <c r="AD197" s="60"/>
      <c r="AE197" s="60"/>
      <c r="AF197" s="6"/>
      <c r="AG197" s="139"/>
      <c r="AH197" s="139"/>
      <c r="AI197" s="139"/>
      <c r="AJ197" s="139"/>
    </row>
    <row r="198" spans="1:36" s="209" customFormat="1" ht="11.25" customHeight="1">
      <c r="A198" s="588"/>
      <c r="B198" s="65"/>
      <c r="C198" s="65"/>
      <c r="P198" s="60"/>
      <c r="Q198" s="65"/>
      <c r="R198" s="65"/>
      <c r="S198" s="60"/>
      <c r="T198" s="60"/>
      <c r="U198" s="60"/>
      <c r="V198" s="60"/>
      <c r="W198" s="65"/>
      <c r="X198" s="60"/>
      <c r="Y198" s="60"/>
      <c r="Z198" s="319"/>
      <c r="AA198" s="60"/>
      <c r="AB198" s="60"/>
      <c r="AC198" s="60"/>
      <c r="AD198" s="60"/>
      <c r="AE198" s="60"/>
      <c r="AF198" s="6"/>
      <c r="AG198" s="139"/>
      <c r="AH198" s="139"/>
      <c r="AI198" s="139"/>
      <c r="AJ198" s="139"/>
    </row>
    <row r="199" spans="1:36" s="209" customFormat="1" ht="11.25" customHeight="1">
      <c r="A199" s="588"/>
      <c r="B199" s="65"/>
      <c r="C199" s="65"/>
      <c r="P199" s="60"/>
      <c r="Q199" s="65"/>
      <c r="R199" s="65"/>
      <c r="S199" s="60"/>
      <c r="T199" s="60"/>
      <c r="U199" s="60"/>
      <c r="V199" s="60"/>
      <c r="W199" s="65"/>
      <c r="X199" s="60"/>
      <c r="Y199" s="60"/>
      <c r="Z199" s="319"/>
      <c r="AA199" s="60"/>
      <c r="AB199" s="60"/>
      <c r="AC199" s="60"/>
      <c r="AD199" s="60"/>
      <c r="AE199" s="60"/>
      <c r="AF199" s="6"/>
      <c r="AG199" s="139"/>
      <c r="AH199" s="139"/>
      <c r="AI199" s="139"/>
      <c r="AJ199" s="139"/>
    </row>
    <row r="200" spans="1:36" s="209" customFormat="1" ht="11.25" customHeight="1">
      <c r="A200" s="588"/>
      <c r="B200" s="65"/>
      <c r="C200" s="65"/>
      <c r="P200" s="60"/>
      <c r="Q200" s="65"/>
      <c r="R200" s="65"/>
      <c r="S200" s="60"/>
      <c r="T200" s="60"/>
      <c r="U200" s="60"/>
      <c r="V200" s="60"/>
      <c r="W200" s="65"/>
      <c r="X200" s="60"/>
      <c r="Y200" s="60"/>
      <c r="Z200" s="319"/>
      <c r="AA200" s="60"/>
      <c r="AB200" s="60"/>
      <c r="AC200" s="60"/>
      <c r="AD200" s="60"/>
      <c r="AE200" s="60"/>
      <c r="AF200" s="6"/>
      <c r="AG200" s="139"/>
      <c r="AH200" s="139"/>
      <c r="AI200" s="139"/>
      <c r="AJ200" s="139"/>
    </row>
    <row r="201" spans="1:36" s="209" customFormat="1" ht="11.25" customHeight="1">
      <c r="A201" s="588"/>
      <c r="B201" s="65"/>
      <c r="C201" s="65"/>
      <c r="P201" s="60"/>
      <c r="Q201" s="65"/>
      <c r="R201" s="65"/>
      <c r="S201" s="60"/>
      <c r="T201" s="60"/>
      <c r="U201" s="60"/>
      <c r="V201" s="60"/>
      <c r="W201" s="65"/>
      <c r="X201" s="60"/>
      <c r="Y201" s="60"/>
      <c r="Z201" s="319"/>
      <c r="AA201" s="60"/>
      <c r="AB201" s="60"/>
      <c r="AC201" s="60"/>
      <c r="AD201" s="60"/>
      <c r="AE201" s="60"/>
      <c r="AF201" s="6"/>
      <c r="AG201" s="139"/>
      <c r="AH201" s="139"/>
      <c r="AI201" s="139"/>
      <c r="AJ201" s="139"/>
    </row>
    <row r="202" spans="1:36" s="209" customFormat="1" ht="11.25" customHeight="1">
      <c r="A202" s="588"/>
      <c r="B202" s="65"/>
      <c r="C202" s="65"/>
      <c r="P202" s="60"/>
      <c r="Q202" s="65"/>
      <c r="R202" s="65"/>
      <c r="S202" s="60"/>
      <c r="T202" s="60"/>
      <c r="U202" s="60"/>
      <c r="V202" s="60"/>
      <c r="W202" s="65"/>
      <c r="X202" s="60"/>
      <c r="Y202" s="60"/>
      <c r="Z202" s="319"/>
      <c r="AA202" s="60"/>
      <c r="AB202" s="60"/>
      <c r="AC202" s="60"/>
      <c r="AD202" s="60"/>
      <c r="AE202" s="60"/>
      <c r="AF202" s="6"/>
      <c r="AG202" s="139"/>
      <c r="AH202" s="139"/>
      <c r="AI202" s="139"/>
      <c r="AJ202" s="139"/>
    </row>
    <row r="203" spans="1:36" s="209" customFormat="1" ht="11.25" customHeight="1">
      <c r="A203" s="588"/>
      <c r="B203" s="65"/>
      <c r="C203" s="65"/>
      <c r="P203" s="60"/>
      <c r="Q203" s="65"/>
      <c r="R203" s="65"/>
      <c r="S203" s="60"/>
      <c r="T203" s="60"/>
      <c r="U203" s="60"/>
      <c r="V203" s="60"/>
      <c r="W203" s="65"/>
      <c r="X203" s="60"/>
      <c r="Y203" s="60"/>
      <c r="Z203" s="319"/>
      <c r="AA203" s="60"/>
      <c r="AB203" s="60"/>
      <c r="AC203" s="60"/>
      <c r="AD203" s="60"/>
      <c r="AE203" s="60"/>
      <c r="AF203" s="6"/>
      <c r="AG203" s="139"/>
      <c r="AH203" s="139"/>
      <c r="AI203" s="139"/>
      <c r="AJ203" s="139"/>
    </row>
    <row r="204" spans="1:36" s="209" customFormat="1" ht="11.25" customHeight="1">
      <c r="A204" s="588"/>
      <c r="B204" s="65"/>
      <c r="C204" s="65"/>
      <c r="P204" s="60"/>
      <c r="Q204" s="65"/>
      <c r="R204" s="65"/>
      <c r="S204" s="60"/>
      <c r="T204" s="60"/>
      <c r="U204" s="60"/>
      <c r="V204" s="60"/>
      <c r="W204" s="65"/>
      <c r="X204" s="60"/>
      <c r="Y204" s="60"/>
      <c r="Z204" s="319"/>
      <c r="AA204" s="60"/>
      <c r="AB204" s="60"/>
      <c r="AC204" s="60"/>
      <c r="AD204" s="60"/>
      <c r="AE204" s="60"/>
      <c r="AF204" s="6"/>
      <c r="AG204" s="139"/>
      <c r="AH204" s="139"/>
      <c r="AI204" s="139"/>
      <c r="AJ204" s="139"/>
    </row>
    <row r="208" spans="1:36" ht="11.25" customHeight="1">
      <c r="A208" s="591"/>
      <c r="B208" s="9"/>
      <c r="P208" s="9"/>
      <c r="S208" s="9"/>
      <c r="T208" s="9"/>
      <c r="U208" s="9"/>
      <c r="V208" s="9"/>
      <c r="X208" s="9"/>
      <c r="Y208" s="9"/>
      <c r="Z208" s="9"/>
      <c r="AA208" s="9"/>
      <c r="AB208" s="9"/>
      <c r="AC208" s="9"/>
      <c r="AD208" s="9"/>
      <c r="AE208" s="9"/>
      <c r="AF208" s="9"/>
      <c r="AG208" s="9"/>
      <c r="AH208" s="9"/>
      <c r="AI208" s="9"/>
      <c r="AJ208" s="9"/>
    </row>
    <row r="209" spans="1:36" ht="11.25" customHeight="1">
      <c r="A209" s="591"/>
      <c r="B209" s="9"/>
      <c r="P209" s="9"/>
      <c r="S209" s="9"/>
      <c r="T209" s="9"/>
      <c r="U209" s="9"/>
      <c r="V209" s="9"/>
      <c r="X209" s="9"/>
      <c r="Y209" s="9"/>
      <c r="Z209" s="9"/>
      <c r="AA209" s="9"/>
      <c r="AB209" s="9"/>
      <c r="AC209" s="9"/>
      <c r="AD209" s="9"/>
      <c r="AE209" s="9"/>
      <c r="AF209" s="9"/>
      <c r="AG209" s="9"/>
      <c r="AH209" s="9"/>
      <c r="AI209" s="9"/>
      <c r="AJ209" s="9"/>
    </row>
    <row r="210" spans="1:36" ht="11.25" customHeight="1">
      <c r="A210" s="591"/>
      <c r="B210" s="9"/>
      <c r="P210" s="9"/>
      <c r="S210" s="9"/>
      <c r="T210" s="9"/>
      <c r="U210" s="9"/>
      <c r="V210" s="9"/>
      <c r="X210" s="9"/>
      <c r="Y210" s="9"/>
      <c r="Z210" s="9"/>
      <c r="AA210" s="9"/>
      <c r="AB210" s="9"/>
      <c r="AC210" s="9"/>
      <c r="AD210" s="9"/>
      <c r="AE210" s="9"/>
      <c r="AF210" s="9"/>
      <c r="AG210" s="9"/>
      <c r="AH210" s="9"/>
      <c r="AI210" s="9"/>
      <c r="AJ210" s="9"/>
    </row>
    <row r="211" spans="1:36" ht="11.25" customHeight="1">
      <c r="A211" s="591"/>
      <c r="B211" s="9"/>
      <c r="P211" s="9"/>
      <c r="S211" s="9"/>
      <c r="T211" s="9"/>
      <c r="U211" s="9"/>
      <c r="V211" s="9"/>
      <c r="X211" s="9"/>
      <c r="Y211" s="9"/>
      <c r="Z211" s="9"/>
      <c r="AA211" s="9"/>
      <c r="AB211" s="9"/>
      <c r="AC211" s="9"/>
      <c r="AD211" s="9"/>
      <c r="AE211" s="9"/>
      <c r="AF211" s="9"/>
      <c r="AG211" s="9"/>
      <c r="AH211" s="9"/>
      <c r="AI211" s="9"/>
      <c r="AJ211" s="9"/>
    </row>
    <row r="212" spans="1:36" ht="11.25" customHeight="1">
      <c r="A212" s="591"/>
      <c r="B212" s="9"/>
      <c r="P212" s="9"/>
      <c r="S212" s="9"/>
      <c r="T212" s="9"/>
      <c r="U212" s="9"/>
      <c r="V212" s="9"/>
      <c r="X212" s="9"/>
      <c r="Y212" s="9"/>
      <c r="Z212" s="9"/>
      <c r="AA212" s="9"/>
      <c r="AB212" s="9"/>
      <c r="AC212" s="9"/>
      <c r="AD212" s="9"/>
      <c r="AE212" s="9"/>
      <c r="AF212" s="9"/>
      <c r="AG212" s="9"/>
      <c r="AH212" s="9"/>
      <c r="AI212" s="9"/>
      <c r="AJ212" s="9"/>
    </row>
    <row r="213" spans="1:36" ht="11.25" customHeight="1">
      <c r="A213" s="591"/>
      <c r="B213" s="9"/>
      <c r="P213" s="9"/>
      <c r="S213" s="9"/>
      <c r="T213" s="9"/>
      <c r="U213" s="9"/>
      <c r="V213" s="9"/>
      <c r="X213" s="9"/>
      <c r="Y213" s="9"/>
      <c r="Z213" s="9"/>
      <c r="AA213" s="9"/>
      <c r="AB213" s="9"/>
      <c r="AC213" s="9"/>
      <c r="AD213" s="9"/>
      <c r="AE213" s="9"/>
      <c r="AF213" s="9"/>
      <c r="AG213" s="9"/>
      <c r="AH213" s="9"/>
      <c r="AI213" s="9"/>
      <c r="AJ213" s="9"/>
    </row>
    <row r="214" spans="1:36" ht="11.25" customHeight="1">
      <c r="A214" s="591"/>
      <c r="B214" s="9"/>
      <c r="P214" s="9"/>
      <c r="S214" s="9"/>
      <c r="T214" s="9"/>
      <c r="U214" s="9"/>
      <c r="V214" s="9"/>
      <c r="X214" s="9"/>
      <c r="Y214" s="9"/>
      <c r="Z214" s="9"/>
      <c r="AA214" s="9"/>
      <c r="AB214" s="9"/>
      <c r="AC214" s="9"/>
      <c r="AD214" s="9"/>
      <c r="AE214" s="9"/>
      <c r="AF214" s="9"/>
      <c r="AG214" s="9"/>
      <c r="AH214" s="9"/>
      <c r="AI214" s="9"/>
      <c r="AJ214" s="9"/>
    </row>
    <row r="215" spans="1:36" ht="11.25" customHeight="1">
      <c r="A215" s="591"/>
      <c r="B215" s="9"/>
      <c r="P215" s="9"/>
      <c r="S215" s="9"/>
      <c r="T215" s="9"/>
      <c r="U215" s="9"/>
      <c r="V215" s="9"/>
      <c r="X215" s="9"/>
      <c r="Y215" s="9"/>
      <c r="Z215" s="9"/>
      <c r="AA215" s="9"/>
      <c r="AB215" s="9"/>
      <c r="AC215" s="9"/>
      <c r="AD215" s="9"/>
      <c r="AE215" s="9"/>
      <c r="AF215" s="9"/>
      <c r="AG215" s="9"/>
      <c r="AH215" s="9"/>
      <c r="AI215" s="9"/>
      <c r="AJ215" s="9"/>
    </row>
    <row r="216" spans="1:36" ht="11.25" customHeight="1">
      <c r="A216" s="591"/>
      <c r="B216" s="9"/>
      <c r="P216" s="9"/>
      <c r="S216" s="9"/>
      <c r="T216" s="9"/>
      <c r="U216" s="9"/>
      <c r="V216" s="9"/>
      <c r="X216" s="9"/>
      <c r="Y216" s="9"/>
      <c r="Z216" s="9"/>
      <c r="AA216" s="9"/>
      <c r="AB216" s="9"/>
      <c r="AC216" s="9"/>
      <c r="AD216" s="9"/>
      <c r="AE216" s="9"/>
      <c r="AF216" s="9"/>
      <c r="AG216" s="9"/>
      <c r="AH216" s="9"/>
      <c r="AI216" s="9"/>
      <c r="AJ216" s="9"/>
    </row>
    <row r="217" spans="1:36" ht="11.25" customHeight="1">
      <c r="A217" s="591"/>
      <c r="B217" s="9"/>
      <c r="P217" s="9"/>
      <c r="S217" s="9"/>
      <c r="T217" s="9"/>
      <c r="U217" s="9"/>
      <c r="V217" s="9"/>
      <c r="X217" s="9"/>
      <c r="Y217" s="9"/>
      <c r="Z217" s="9"/>
      <c r="AA217" s="9"/>
      <c r="AB217" s="9"/>
      <c r="AC217" s="9"/>
      <c r="AD217" s="9"/>
      <c r="AE217" s="9"/>
      <c r="AF217" s="9"/>
      <c r="AG217" s="9"/>
      <c r="AH217" s="9"/>
      <c r="AI217" s="9"/>
      <c r="AJ217" s="9"/>
    </row>
    <row r="218" spans="1:36" ht="11.25" customHeight="1">
      <c r="A218" s="591"/>
      <c r="B218" s="9"/>
      <c r="P218" s="9"/>
      <c r="S218" s="9"/>
      <c r="T218" s="9"/>
      <c r="U218" s="9"/>
      <c r="V218" s="9"/>
      <c r="X218" s="9"/>
      <c r="Y218" s="9"/>
      <c r="Z218" s="9"/>
      <c r="AA218" s="9"/>
      <c r="AB218" s="9"/>
      <c r="AC218" s="9"/>
      <c r="AD218" s="9"/>
      <c r="AE218" s="9"/>
      <c r="AF218" s="9"/>
      <c r="AG218" s="9"/>
      <c r="AH218" s="9"/>
      <c r="AI218" s="9"/>
      <c r="AJ218" s="9"/>
    </row>
  </sheetData>
  <sheetProtection formatColumns="0" formatRows="0" insertRows="0" deleteColumns="0" deleteRows="0" sort="0" autoFilter="0"/>
  <mergeCells count="8">
    <mergeCell ref="F48:O48"/>
    <mergeCell ref="F49:O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N33 O33" xr:uid="{00000000-0002-0000-2900-000000000000}">
      <formula1>900</formula1>
    </dataValidation>
    <dataValidation type="decimal" allowBlank="1" showErrorMessage="1" errorTitle="Ошибка" error="Допускается ввод только неотрицательных чисел!" sqref="H38:N39 H2:N2 H15:N15 H17:N32 H35:N35 H44:N46 O2 O15 O17 O18 O19 O20 O21 O22 O23 O24 O25 O26 O27 O28 O29 O30 O31 O32 O35 O38 O39 O44 O45 O46" xr:uid="{00000000-0002-0000-29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N43 O43" xr:uid="{00000000-0002-0000-2900-000002000000}">
      <formula1>900</formula1>
    </dataValidation>
    <dataValidation type="decimal" allowBlank="1" showErrorMessage="1" errorTitle="Ошибка" error="Допускается ввод только действительных чисел!" sqref="H36:N37 O36 O37" xr:uid="{00000000-0002-0000-2900-000003000000}">
      <formula1>-9.99999999999999E+23</formula1>
      <formula2>9.99999999999999E+23</formula2>
    </dataValidation>
    <dataValidation type="decimal" allowBlank="1" showErrorMessage="1" errorTitle="Ошибка" error="Допускается ввод только действительных чисел!" sqref="H40:N42 O40 O41 O42" xr:uid="{00000000-0002-0000-29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DD9B6-79A6-A256-664D-4F6E9318B9C6}">
  <sheetPr>
    <tabColor theme="9" tint="-0.249977111117893"/>
  </sheetPr>
  <dimension ref="A1:AJ209"/>
  <sheetViews>
    <sheetView showGridLines="0" topLeftCell="D5" zoomScale="90" workbookViewId="0">
      <selection activeCell="N1" sqref="N1:N1048576"/>
    </sheetView>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14" width="40.7109375" style="9" customWidth="1"/>
    <col min="15" max="15" width="40.7109375" style="9" hidden="1" customWidth="1"/>
    <col min="16" max="16" width="9.7109375" style="60" customWidth="1"/>
    <col min="17" max="17" width="5.28515625" style="65" customWidth="1"/>
    <col min="18" max="18" width="3.7109375" style="65" customWidth="1"/>
    <col min="19" max="22" width="3.7109375" style="60" customWidth="1"/>
    <col min="23" max="23" width="10.5703125" style="65" customWidth="1"/>
    <col min="24" max="24" width="34.7109375" style="60" customWidth="1"/>
    <col min="25" max="25" width="9.42578125" style="60" customWidth="1"/>
    <col min="26" max="26" width="9.140625" style="319"/>
    <col min="27" max="31" width="9.140625" style="60"/>
    <col min="32" max="36" width="9.140625" style="6"/>
  </cols>
  <sheetData>
    <row r="1" spans="1:36" s="60" customFormat="1" ht="11.25" hidden="1" customHeight="1">
      <c r="A1" s="588"/>
      <c r="C1" s="65"/>
      <c r="H1" s="60">
        <v>4</v>
      </c>
      <c r="I1" s="60">
        <v>4</v>
      </c>
      <c r="J1" s="60">
        <v>4</v>
      </c>
      <c r="K1" s="60">
        <v>4</v>
      </c>
      <c r="L1" s="60">
        <v>4</v>
      </c>
      <c r="M1" s="60">
        <v>4</v>
      </c>
      <c r="N1" s="60">
        <v>4</v>
      </c>
      <c r="O1" s="60">
        <v>4</v>
      </c>
      <c r="Q1" s="65"/>
      <c r="R1" s="65"/>
      <c r="W1" s="65"/>
    </row>
    <row r="2" spans="1:36" s="60" customFormat="1" ht="22.5" hidden="1" customHeight="1">
      <c r="A2" s="588"/>
      <c r="C2" s="65"/>
      <c r="D2" s="315"/>
      <c r="E2" s="39"/>
      <c r="F2" s="316"/>
      <c r="G2" s="39" t="s">
        <v>1726</v>
      </c>
      <c r="H2" s="317"/>
      <c r="I2" s="317"/>
      <c r="J2" s="317"/>
      <c r="K2" s="317"/>
      <c r="L2" s="317"/>
      <c r="M2" s="317"/>
      <c r="N2" s="317"/>
      <c r="O2" s="317"/>
      <c r="P2" s="318"/>
      <c r="Q2" s="65"/>
      <c r="R2" s="65"/>
      <c r="W2" s="65"/>
      <c r="Z2" s="319"/>
      <c r="AF2" s="6"/>
      <c r="AG2" s="6"/>
      <c r="AH2" s="6"/>
      <c r="AI2" s="6"/>
      <c r="AJ2" s="6"/>
    </row>
    <row r="3" spans="1:36" ht="11.25" hidden="1" customHeight="1"/>
    <row r="4" spans="1:36" s="6" customFormat="1" ht="11.25" hidden="1" customHeight="1">
      <c r="A4" s="588"/>
      <c r="B4" s="60"/>
      <c r="C4" s="65"/>
      <c r="P4" s="60"/>
      <c r="Q4" s="65"/>
      <c r="R4" s="65"/>
      <c r="S4" s="60"/>
      <c r="T4" s="60"/>
      <c r="U4" s="60"/>
      <c r="V4" s="60"/>
      <c r="W4" s="65"/>
      <c r="X4" s="60"/>
      <c r="Y4" s="60"/>
      <c r="Z4" s="319"/>
      <c r="AA4" s="60"/>
      <c r="AB4" s="60"/>
      <c r="AC4" s="60"/>
      <c r="AD4" s="60"/>
      <c r="AE4" s="60"/>
    </row>
    <row r="6" spans="1:36" ht="24" customHeight="1">
      <c r="E6" s="1075" t="s">
        <v>1804</v>
      </c>
      <c r="F6" s="1076"/>
      <c r="G6" s="1076"/>
      <c r="H6" s="1076"/>
      <c r="I6" s="1077"/>
      <c r="J6" s="923"/>
      <c r="K6" s="923"/>
      <c r="L6" s="923"/>
      <c r="M6" s="923"/>
      <c r="N6" s="923"/>
      <c r="O6" s="923"/>
    </row>
    <row r="7" spans="1:36" ht="24" customHeight="1">
      <c r="E7" s="1191" t="str">
        <f>IF(org=0,"Не определено",org)</f>
        <v>ООО "Концессионная Коммунальная Компания"</v>
      </c>
      <c r="F7" s="1192"/>
      <c r="G7" s="1192"/>
      <c r="H7" s="1192"/>
      <c r="I7" s="1193"/>
      <c r="J7" s="1041"/>
      <c r="K7" s="1041"/>
      <c r="L7" s="1041"/>
      <c r="M7" s="1041"/>
      <c r="N7" s="1041"/>
      <c r="O7" s="1041"/>
    </row>
    <row r="8" spans="1:36" ht="11.25" customHeight="1">
      <c r="E8" s="681"/>
      <c r="F8" s="681"/>
      <c r="G8" s="681"/>
      <c r="H8" s="681"/>
      <c r="I8" s="681"/>
      <c r="J8" s="681"/>
      <c r="K8" s="681"/>
      <c r="L8" s="681"/>
      <c r="M8" s="681"/>
      <c r="N8" s="681"/>
      <c r="O8" s="681"/>
    </row>
    <row r="9" spans="1:36" s="65" customFormat="1" ht="0.75" customHeight="1">
      <c r="A9" s="323"/>
      <c r="H9" s="528"/>
      <c r="I9" s="528" t="s">
        <v>126</v>
      </c>
      <c r="J9" s="528" t="s">
        <v>133</v>
      </c>
      <c r="K9" s="528" t="s">
        <v>130</v>
      </c>
      <c r="L9" s="528" t="s">
        <v>131</v>
      </c>
      <c r="M9" s="528" t="s">
        <v>135</v>
      </c>
      <c r="N9" s="528" t="s">
        <v>136</v>
      </c>
      <c r="O9" s="528"/>
    </row>
    <row r="10" spans="1:36" ht="11.25" customHeight="1">
      <c r="E10" s="416"/>
      <c r="F10" s="1375" t="s">
        <v>115</v>
      </c>
      <c r="G10" s="1376"/>
      <c r="H10" s="889" t="str">
        <f t="shared" ref="H10:O10" si="0">IF(H9="","",INDEX(DIFFERENTIATION_UNMERGE_VD,MATCH(H9,DIFFERENTIATION_ID_DIFF,0)))</f>
        <v/>
      </c>
      <c r="I10" s="889" t="str">
        <f t="shared" si="0"/>
        <v>Холодное водоснабжение. Питьевая вода</v>
      </c>
      <c r="J10" s="889" t="str">
        <f t="shared" si="0"/>
        <v>Холодное водоснабжение. Техническая вода</v>
      </c>
      <c r="K10" s="889" t="str">
        <f t="shared" si="0"/>
        <v>Холодное водоснабжение. Питьевая вода</v>
      </c>
      <c r="L10" s="889" t="str">
        <f t="shared" si="0"/>
        <v>Холодное водоснабжение. Питьевая вода</v>
      </c>
      <c r="M10" s="889" t="str">
        <f t="shared" si="0"/>
        <v>Холодное водоснабжение. Техническая вода</v>
      </c>
      <c r="N10" s="889" t="str">
        <f t="shared" si="0"/>
        <v>Холодное водоснабжение. Техническая вода</v>
      </c>
      <c r="O10" s="889" t="str">
        <f t="shared" si="0"/>
        <v/>
      </c>
    </row>
    <row r="11" spans="1:36" ht="11.25" customHeight="1">
      <c r="E11" s="416"/>
      <c r="F11" s="1375" t="s">
        <v>427</v>
      </c>
      <c r="G11" s="1376"/>
      <c r="H11" s="889" t="str">
        <f t="shared" ref="H11:O11" si="1">IF(H9="","",INDEX(DIFFERENTIATION_UNMERGE_AREA,MATCH(H9,DIFFERENTIATION_ID_DIFF,0)))</f>
        <v/>
      </c>
      <c r="I11" s="889" t="str">
        <f t="shared" si="1"/>
        <v>Территория 1</v>
      </c>
      <c r="J11" s="889" t="str">
        <f t="shared" si="1"/>
        <v>Территория 1</v>
      </c>
      <c r="K11" s="889" t="str">
        <f t="shared" si="1"/>
        <v>Территория 2</v>
      </c>
      <c r="L11" s="889" t="str">
        <f t="shared" si="1"/>
        <v>Территория 3</v>
      </c>
      <c r="M11" s="889" t="str">
        <f t="shared" si="1"/>
        <v>Территория 2</v>
      </c>
      <c r="N11" s="889" t="str">
        <f t="shared" si="1"/>
        <v>Территория 3</v>
      </c>
      <c r="O11" s="889" t="str">
        <f t="shared" si="1"/>
        <v/>
      </c>
    </row>
    <row r="12" spans="1:36" ht="11.25" hidden="1" customHeight="1">
      <c r="E12" s="927"/>
      <c r="F12" s="1409" t="s">
        <v>428</v>
      </c>
      <c r="G12" s="1410"/>
      <c r="H12" s="928" t="str">
        <f t="shared" ref="H12:O12" si="2">IF(H9="","",INDEX(DIFFERENTIATION_UNMERGE_SYSTEM,MATCH(H9,DIFFERENTIATION_ID_DIFF,0)))</f>
        <v/>
      </c>
      <c r="I12" s="928" t="str">
        <f t="shared" si="2"/>
        <v>без дифференциации</v>
      </c>
      <c r="J12" s="928" t="str">
        <f t="shared" si="2"/>
        <v>без дифференциации</v>
      </c>
      <c r="K12" s="928" t="str">
        <f t="shared" si="2"/>
        <v>без дифференциации</v>
      </c>
      <c r="L12" s="928" t="str">
        <f t="shared" si="2"/>
        <v>без дифференциации</v>
      </c>
      <c r="M12" s="928" t="str">
        <f t="shared" si="2"/>
        <v>без дифференциации</v>
      </c>
      <c r="N12" s="928" t="str">
        <f t="shared" si="2"/>
        <v>без дифференциации</v>
      </c>
      <c r="O12" s="928" t="str">
        <f t="shared" si="2"/>
        <v/>
      </c>
    </row>
    <row r="13" spans="1:36" ht="11.25" customHeight="1">
      <c r="E13" s="1377" t="s">
        <v>302</v>
      </c>
      <c r="F13" s="1378"/>
      <c r="G13" s="1378"/>
      <c r="H13" s="526"/>
      <c r="I13" s="526"/>
      <c r="J13" s="526"/>
      <c r="K13" s="526"/>
      <c r="L13" s="526"/>
      <c r="M13" s="526"/>
      <c r="N13" s="526"/>
      <c r="O13" s="526"/>
    </row>
    <row r="14" spans="1:36" ht="22.5" customHeight="1">
      <c r="E14" s="39" t="s">
        <v>88</v>
      </c>
      <c r="F14" s="39" t="s">
        <v>304</v>
      </c>
      <c r="G14" s="39" t="s">
        <v>1623</v>
      </c>
      <c r="H14" s="39" t="s">
        <v>305</v>
      </c>
      <c r="I14" s="39" t="s">
        <v>305</v>
      </c>
      <c r="J14" s="39" t="s">
        <v>305</v>
      </c>
      <c r="K14" s="39" t="s">
        <v>305</v>
      </c>
      <c r="L14" s="39" t="s">
        <v>305</v>
      </c>
      <c r="M14" s="39" t="s">
        <v>305</v>
      </c>
      <c r="N14" s="39" t="s">
        <v>305</v>
      </c>
      <c r="O14" s="39" t="s">
        <v>305</v>
      </c>
    </row>
    <row r="15" spans="1:36" ht="18.75" customHeight="1">
      <c r="D15" s="53"/>
      <c r="E15" s="925" t="s">
        <v>119</v>
      </c>
      <c r="F15" s="150" t="s">
        <v>1805</v>
      </c>
      <c r="G15" s="39" t="s">
        <v>1726</v>
      </c>
      <c r="H15" s="331"/>
      <c r="I15" s="331"/>
      <c r="J15" s="331"/>
      <c r="K15" s="331"/>
      <c r="L15" s="331"/>
      <c r="M15" s="331"/>
      <c r="N15" s="331"/>
      <c r="O15" s="331"/>
      <c r="P15" s="318" t="s">
        <v>1771</v>
      </c>
    </row>
    <row r="16" spans="1:36" ht="22.5" customHeight="1">
      <c r="D16" s="53"/>
      <c r="E16" s="925" t="s">
        <v>103</v>
      </c>
      <c r="F16" s="909" t="s">
        <v>1806</v>
      </c>
      <c r="G16" s="39" t="s">
        <v>1726</v>
      </c>
      <c r="H16" s="332">
        <f t="shared" ref="H16:O16" si="3">SUM(H17,H20:H27)</f>
        <v>0</v>
      </c>
      <c r="I16" s="332">
        <f t="shared" si="3"/>
        <v>0</v>
      </c>
      <c r="J16" s="332">
        <f t="shared" si="3"/>
        <v>0</v>
      </c>
      <c r="K16" s="332">
        <f t="shared" si="3"/>
        <v>0</v>
      </c>
      <c r="L16" s="332">
        <f t="shared" si="3"/>
        <v>0</v>
      </c>
      <c r="M16" s="332">
        <f t="shared" si="3"/>
        <v>0</v>
      </c>
      <c r="N16" s="332">
        <f t="shared" si="3"/>
        <v>0</v>
      </c>
      <c r="O16" s="332">
        <f t="shared" si="3"/>
        <v>0</v>
      </c>
      <c r="P16" s="318" t="s">
        <v>1771</v>
      </c>
    </row>
    <row r="17" spans="1:36" ht="33.75" customHeight="1">
      <c r="D17" s="53"/>
      <c r="E17" s="929" t="s">
        <v>465</v>
      </c>
      <c r="F17" s="402" t="s">
        <v>1807</v>
      </c>
      <c r="G17" s="403" t="s">
        <v>1726</v>
      </c>
      <c r="H17" s="331"/>
      <c r="I17" s="331"/>
      <c r="J17" s="331"/>
      <c r="K17" s="331"/>
      <c r="L17" s="331"/>
      <c r="M17" s="331"/>
      <c r="N17" s="331"/>
      <c r="O17" s="331"/>
      <c r="P17" s="318"/>
    </row>
    <row r="18" spans="1:36" ht="18.75" customHeight="1">
      <c r="D18" s="53"/>
      <c r="E18" s="929" t="s">
        <v>467</v>
      </c>
      <c r="F18" s="732" t="s">
        <v>1808</v>
      </c>
      <c r="G18" s="403" t="s">
        <v>1726</v>
      </c>
      <c r="H18" s="331"/>
      <c r="I18" s="331"/>
      <c r="J18" s="331"/>
      <c r="K18" s="331"/>
      <c r="L18" s="331"/>
      <c r="M18" s="331"/>
      <c r="N18" s="331"/>
      <c r="O18" s="331"/>
      <c r="P18" s="318"/>
    </row>
    <row r="19" spans="1:36" ht="22.5" customHeight="1">
      <c r="D19" s="53"/>
      <c r="E19" s="929" t="s">
        <v>1775</v>
      </c>
      <c r="F19" s="732" t="s">
        <v>1809</v>
      </c>
      <c r="G19" s="403" t="s">
        <v>1726</v>
      </c>
      <c r="H19" s="331"/>
      <c r="I19" s="331"/>
      <c r="J19" s="331"/>
      <c r="K19" s="331"/>
      <c r="L19" s="331"/>
      <c r="M19" s="331"/>
      <c r="N19" s="331"/>
      <c r="O19" s="331"/>
      <c r="P19" s="318"/>
    </row>
    <row r="20" spans="1:36" ht="33.75" customHeight="1">
      <c r="D20" s="53"/>
      <c r="E20" s="929" t="s">
        <v>309</v>
      </c>
      <c r="F20" s="402" t="s">
        <v>1810</v>
      </c>
      <c r="G20" s="403" t="s">
        <v>1726</v>
      </c>
      <c r="H20" s="331"/>
      <c r="I20" s="331"/>
      <c r="J20" s="331"/>
      <c r="K20" s="331"/>
      <c r="L20" s="331"/>
      <c r="M20" s="331"/>
      <c r="N20" s="331"/>
      <c r="O20" s="331"/>
      <c r="P20" s="318"/>
    </row>
    <row r="21" spans="1:36" ht="33.75" customHeight="1">
      <c r="D21" s="53"/>
      <c r="E21" s="929" t="s">
        <v>312</v>
      </c>
      <c r="F21" s="402" t="s">
        <v>1811</v>
      </c>
      <c r="G21" s="403" t="s">
        <v>1726</v>
      </c>
      <c r="H21" s="331"/>
      <c r="I21" s="331"/>
      <c r="J21" s="331"/>
      <c r="K21" s="331"/>
      <c r="L21" s="331"/>
      <c r="M21" s="331"/>
      <c r="N21" s="331"/>
      <c r="O21" s="331"/>
      <c r="P21" s="318"/>
    </row>
    <row r="22" spans="1:36" ht="56.25" customHeight="1">
      <c r="D22" s="53"/>
      <c r="E22" s="929" t="s">
        <v>1374</v>
      </c>
      <c r="F22" s="402" t="s">
        <v>1812</v>
      </c>
      <c r="G22" s="403" t="s">
        <v>1726</v>
      </c>
      <c r="H22" s="331"/>
      <c r="I22" s="331"/>
      <c r="J22" s="331"/>
      <c r="K22" s="331"/>
      <c r="L22" s="331"/>
      <c r="M22" s="331"/>
      <c r="N22" s="331"/>
      <c r="O22" s="331"/>
      <c r="P22" s="318"/>
    </row>
    <row r="23" spans="1:36" ht="33.75" customHeight="1">
      <c r="D23" s="53"/>
      <c r="E23" s="929" t="s">
        <v>1376</v>
      </c>
      <c r="F23" s="402" t="s">
        <v>1813</v>
      </c>
      <c r="G23" s="403" t="s">
        <v>1726</v>
      </c>
      <c r="H23" s="331"/>
      <c r="I23" s="331"/>
      <c r="J23" s="331"/>
      <c r="K23" s="331"/>
      <c r="L23" s="331"/>
      <c r="M23" s="331"/>
      <c r="N23" s="331"/>
      <c r="O23" s="331"/>
      <c r="P23" s="318"/>
    </row>
    <row r="24" spans="1:36" ht="33.75" customHeight="1">
      <c r="D24" s="53"/>
      <c r="E24" s="929" t="s">
        <v>1390</v>
      </c>
      <c r="F24" s="402" t="s">
        <v>1814</v>
      </c>
      <c r="G24" s="403" t="s">
        <v>1726</v>
      </c>
      <c r="H24" s="331"/>
      <c r="I24" s="331"/>
      <c r="J24" s="331"/>
      <c r="K24" s="331"/>
      <c r="L24" s="331"/>
      <c r="M24" s="331"/>
      <c r="N24" s="331"/>
      <c r="O24" s="331"/>
      <c r="P24" s="318"/>
    </row>
    <row r="25" spans="1:36" ht="22.5" customHeight="1">
      <c r="D25" s="53"/>
      <c r="E25" s="929" t="s">
        <v>1401</v>
      </c>
      <c r="F25" s="402" t="s">
        <v>1815</v>
      </c>
      <c r="G25" s="403" t="s">
        <v>1726</v>
      </c>
      <c r="H25" s="331"/>
      <c r="I25" s="331"/>
      <c r="J25" s="331"/>
      <c r="K25" s="331"/>
      <c r="L25" s="331"/>
      <c r="M25" s="331"/>
      <c r="N25" s="331"/>
      <c r="O25" s="331"/>
      <c r="P25" s="318"/>
    </row>
    <row r="26" spans="1:36" ht="67.5" customHeight="1">
      <c r="D26" s="53"/>
      <c r="E26" s="929" t="s">
        <v>1412</v>
      </c>
      <c r="F26" s="402" t="s">
        <v>1816</v>
      </c>
      <c r="G26" s="403" t="s">
        <v>1726</v>
      </c>
      <c r="H26" s="331"/>
      <c r="I26" s="331"/>
      <c r="J26" s="331"/>
      <c r="K26" s="331"/>
      <c r="L26" s="331"/>
      <c r="M26" s="331"/>
      <c r="N26" s="331"/>
      <c r="O26" s="331"/>
      <c r="P26" s="318"/>
    </row>
    <row r="27" spans="1:36" s="60" customFormat="1" ht="22.5" customHeight="1">
      <c r="A27" s="588"/>
      <c r="C27" s="65"/>
      <c r="D27" s="53"/>
      <c r="E27" s="924" t="s">
        <v>1420</v>
      </c>
      <c r="F27" s="923" t="s">
        <v>1817</v>
      </c>
      <c r="G27" s="349" t="s">
        <v>1726</v>
      </c>
      <c r="H27" s="350">
        <f t="shared" ref="H27:O27" si="4">SUM(H28:H29)</f>
        <v>0</v>
      </c>
      <c r="I27" s="350">
        <f t="shared" si="4"/>
        <v>0</v>
      </c>
      <c r="J27" s="350">
        <f t="shared" si="4"/>
        <v>0</v>
      </c>
      <c r="K27" s="350">
        <f t="shared" si="4"/>
        <v>0</v>
      </c>
      <c r="L27" s="350">
        <f t="shared" si="4"/>
        <v>0</v>
      </c>
      <c r="M27" s="350">
        <f t="shared" si="4"/>
        <v>0</v>
      </c>
      <c r="N27" s="350">
        <f t="shared" si="4"/>
        <v>0</v>
      </c>
      <c r="O27" s="350">
        <f t="shared" si="4"/>
        <v>0</v>
      </c>
      <c r="P27" s="318"/>
      <c r="Q27" s="65"/>
      <c r="R27" s="65"/>
      <c r="W27" s="65"/>
      <c r="Z27" s="319"/>
      <c r="AF27" s="6"/>
      <c r="AG27" s="6"/>
      <c r="AH27" s="6"/>
      <c r="AI27" s="6"/>
      <c r="AJ27" s="6"/>
    </row>
    <row r="28" spans="1:36" s="65" customFormat="1" ht="0.75" customHeight="1">
      <c r="A28" s="323"/>
      <c r="D28" s="323"/>
      <c r="E28" s="326" t="str">
        <f>E27&amp;".0"</f>
        <v>2.9.0</v>
      </c>
      <c r="F28" s="592"/>
      <c r="G28" s="326"/>
      <c r="H28" s="593"/>
      <c r="I28" s="593"/>
      <c r="J28" s="593"/>
      <c r="K28" s="593"/>
      <c r="L28" s="593"/>
      <c r="M28" s="593"/>
      <c r="N28" s="593"/>
      <c r="O28" s="593"/>
    </row>
    <row r="29" spans="1:36" s="60" customFormat="1" ht="18.75" customHeight="1">
      <c r="A29" s="588"/>
      <c r="C29" s="65"/>
      <c r="D29" s="74"/>
      <c r="E29" s="342"/>
      <c r="F29" s="930" t="s">
        <v>1739</v>
      </c>
      <c r="G29" s="343"/>
      <c r="H29" s="344"/>
      <c r="I29" s="344"/>
      <c r="J29" s="344"/>
      <c r="K29" s="344"/>
      <c r="L29" s="344"/>
      <c r="M29" s="344"/>
      <c r="N29" s="344"/>
      <c r="O29" s="344"/>
      <c r="P29" s="318"/>
      <c r="Q29" s="65"/>
      <c r="R29" s="65"/>
      <c r="W29" s="65"/>
      <c r="Z29" s="319"/>
      <c r="AF29" s="6"/>
      <c r="AG29" s="6"/>
      <c r="AH29" s="6"/>
      <c r="AI29" s="6"/>
      <c r="AJ29" s="6"/>
    </row>
    <row r="30" spans="1:36" s="60" customFormat="1" ht="22.5" customHeight="1">
      <c r="A30" s="588"/>
      <c r="C30" s="65"/>
      <c r="D30" s="53"/>
      <c r="E30" s="929" t="s">
        <v>90</v>
      </c>
      <c r="F30" s="187" t="s">
        <v>1818</v>
      </c>
      <c r="G30" s="403" t="s">
        <v>1726</v>
      </c>
      <c r="H30" s="331"/>
      <c r="I30" s="331"/>
      <c r="J30" s="331"/>
      <c r="K30" s="331"/>
      <c r="L30" s="331"/>
      <c r="M30" s="331"/>
      <c r="N30" s="331"/>
      <c r="O30" s="331"/>
      <c r="P30" s="318"/>
      <c r="Q30" s="65"/>
      <c r="R30" s="65"/>
      <c r="W30" s="65"/>
      <c r="Z30" s="319"/>
      <c r="AF30" s="6"/>
      <c r="AG30" s="6"/>
      <c r="AH30" s="6"/>
      <c r="AI30" s="6"/>
      <c r="AJ30" s="6"/>
    </row>
    <row r="31" spans="1:36" s="60" customFormat="1" ht="33.75" customHeight="1">
      <c r="A31" s="588"/>
      <c r="C31" s="65"/>
      <c r="D31" s="346"/>
      <c r="E31" s="929" t="s">
        <v>91</v>
      </c>
      <c r="F31" s="187" t="s">
        <v>1819</v>
      </c>
      <c r="G31" s="403" t="s">
        <v>1726</v>
      </c>
      <c r="H31" s="331"/>
      <c r="I31" s="331"/>
      <c r="J31" s="331"/>
      <c r="K31" s="331"/>
      <c r="L31" s="331"/>
      <c r="M31" s="331"/>
      <c r="N31" s="331"/>
      <c r="O31" s="331"/>
      <c r="P31" s="318"/>
      <c r="Q31" s="65"/>
      <c r="R31" s="65"/>
      <c r="W31" s="65"/>
      <c r="Z31" s="319"/>
      <c r="AF31" s="6"/>
      <c r="AG31" s="6"/>
      <c r="AH31" s="6"/>
      <c r="AI31" s="6"/>
      <c r="AJ31" s="6"/>
    </row>
    <row r="32" spans="1:36" s="60" customFormat="1" ht="22.5" customHeight="1">
      <c r="A32" s="588"/>
      <c r="C32" s="65"/>
      <c r="D32" s="53"/>
      <c r="E32" s="929" t="s">
        <v>1473</v>
      </c>
      <c r="F32" s="402" t="s">
        <v>1794</v>
      </c>
      <c r="G32" s="403" t="s">
        <v>1726</v>
      </c>
      <c r="H32" s="331"/>
      <c r="I32" s="331"/>
      <c r="J32" s="331"/>
      <c r="K32" s="331"/>
      <c r="L32" s="331"/>
      <c r="M32" s="331"/>
      <c r="N32" s="331"/>
      <c r="O32" s="331"/>
      <c r="P32" s="318"/>
      <c r="Q32" s="65"/>
      <c r="R32" s="65"/>
      <c r="W32" s="65"/>
      <c r="Z32" s="319"/>
      <c r="AF32" s="6"/>
      <c r="AG32" s="6"/>
      <c r="AH32" s="6"/>
      <c r="AI32" s="6"/>
      <c r="AJ32" s="6"/>
    </row>
    <row r="33" spans="1:36" s="60" customFormat="1" ht="22.5" customHeight="1">
      <c r="A33" s="588"/>
      <c r="C33" s="65"/>
      <c r="D33" s="53"/>
      <c r="E33" s="929" t="s">
        <v>1490</v>
      </c>
      <c r="F33" s="402" t="s">
        <v>1820</v>
      </c>
      <c r="G33" s="403" t="s">
        <v>1726</v>
      </c>
      <c r="H33" s="331"/>
      <c r="I33" s="331"/>
      <c r="J33" s="331"/>
      <c r="K33" s="331"/>
      <c r="L33" s="331"/>
      <c r="M33" s="331"/>
      <c r="N33" s="331"/>
      <c r="O33" s="331"/>
      <c r="P33" s="318"/>
      <c r="Q33" s="65"/>
      <c r="R33" s="65"/>
      <c r="W33" s="65"/>
      <c r="Z33" s="319"/>
      <c r="AF33" s="6"/>
      <c r="AG33" s="6"/>
      <c r="AH33" s="6"/>
      <c r="AI33" s="6"/>
      <c r="AJ33" s="6"/>
    </row>
    <row r="34" spans="1:36" s="60" customFormat="1" ht="22.5" customHeight="1">
      <c r="A34" s="588"/>
      <c r="C34" s="65"/>
      <c r="D34" s="53"/>
      <c r="E34" s="929" t="s">
        <v>1638</v>
      </c>
      <c r="F34" s="402" t="s">
        <v>1797</v>
      </c>
      <c r="G34" s="403" t="s">
        <v>1726</v>
      </c>
      <c r="H34" s="331"/>
      <c r="I34" s="331"/>
      <c r="J34" s="331"/>
      <c r="K34" s="331"/>
      <c r="L34" s="331"/>
      <c r="M34" s="331"/>
      <c r="N34" s="331"/>
      <c r="O34" s="331"/>
      <c r="P34" s="318"/>
      <c r="Q34" s="65"/>
      <c r="R34" s="65"/>
      <c r="W34" s="65"/>
      <c r="Z34" s="319"/>
      <c r="AF34" s="6"/>
      <c r="AG34" s="6"/>
      <c r="AH34" s="6"/>
      <c r="AI34" s="6"/>
      <c r="AJ34" s="6"/>
    </row>
    <row r="35" spans="1:36" s="60" customFormat="1" ht="33.75" customHeight="1">
      <c r="A35" s="588"/>
      <c r="C35" s="65" t="s">
        <v>1747</v>
      </c>
      <c r="D35" s="53"/>
      <c r="E35" s="929" t="s">
        <v>120</v>
      </c>
      <c r="F35" s="187" t="s">
        <v>1496</v>
      </c>
      <c r="G35" s="39" t="s">
        <v>308</v>
      </c>
      <c r="H35" s="241"/>
      <c r="I35" s="241"/>
      <c r="J35" s="241"/>
      <c r="K35" s="241"/>
      <c r="L35" s="241"/>
      <c r="M35" s="241"/>
      <c r="N35" s="241"/>
      <c r="O35" s="241"/>
      <c r="P35" s="318"/>
      <c r="Q35" s="65"/>
      <c r="R35" s="65"/>
      <c r="W35" s="65"/>
      <c r="Z35" s="319"/>
      <c r="AF35" s="6"/>
      <c r="AG35" s="6"/>
      <c r="AH35" s="6"/>
      <c r="AI35" s="6"/>
      <c r="AJ35" s="6"/>
    </row>
    <row r="36" spans="1:36" s="60" customFormat="1" ht="22.5" customHeight="1">
      <c r="A36" s="588"/>
      <c r="C36" s="65"/>
      <c r="D36" s="53"/>
      <c r="E36" s="929" t="s">
        <v>92</v>
      </c>
      <c r="F36" s="187" t="s">
        <v>1821</v>
      </c>
      <c r="G36" s="403" t="s">
        <v>1800</v>
      </c>
      <c r="H36" s="320"/>
      <c r="I36" s="320"/>
      <c r="J36" s="320"/>
      <c r="K36" s="320"/>
      <c r="L36" s="320"/>
      <c r="M36" s="320"/>
      <c r="N36" s="320"/>
      <c r="O36" s="320"/>
      <c r="P36" s="318"/>
      <c r="Q36" s="65"/>
      <c r="R36" s="65"/>
      <c r="W36" s="65"/>
      <c r="Z36" s="319"/>
      <c r="AF36" s="6"/>
      <c r="AG36" s="6"/>
      <c r="AH36" s="6"/>
      <c r="AI36" s="6"/>
      <c r="AJ36" s="6"/>
    </row>
    <row r="37" spans="1:36" s="60" customFormat="1" ht="22.5" customHeight="1">
      <c r="A37" s="588"/>
      <c r="C37" s="65"/>
      <c r="D37" s="53"/>
      <c r="E37" s="929" t="s">
        <v>93</v>
      </c>
      <c r="F37" s="187" t="s">
        <v>1822</v>
      </c>
      <c r="G37" s="403" t="s">
        <v>1802</v>
      </c>
      <c r="H37" s="320"/>
      <c r="I37" s="320"/>
      <c r="J37" s="320"/>
      <c r="K37" s="320"/>
      <c r="L37" s="320"/>
      <c r="M37" s="320"/>
      <c r="N37" s="320"/>
      <c r="O37" s="320"/>
      <c r="P37" s="318"/>
      <c r="Q37" s="65"/>
      <c r="R37" s="65"/>
      <c r="W37" s="65"/>
      <c r="Z37" s="319"/>
      <c r="AF37" s="6"/>
      <c r="AG37" s="6"/>
      <c r="AH37" s="6"/>
      <c r="AI37" s="6"/>
      <c r="AJ37" s="6"/>
    </row>
    <row r="38" spans="1:36" ht="11.25" customHeight="1">
      <c r="D38" s="53"/>
    </row>
    <row r="39" spans="1:36" ht="26.25" customHeight="1">
      <c r="D39" s="53"/>
      <c r="E39" s="204" t="s">
        <v>519</v>
      </c>
      <c r="F39" s="1286" t="s">
        <v>1823</v>
      </c>
      <c r="G39" s="1286"/>
      <c r="H39" s="1286"/>
      <c r="I39" s="1286"/>
      <c r="J39" s="1286"/>
      <c r="K39" s="1286"/>
      <c r="L39" s="1286"/>
      <c r="M39" s="1286"/>
      <c r="N39" s="1286"/>
      <c r="O39" s="1286"/>
    </row>
    <row r="40" spans="1:36" s="209" customFormat="1" ht="37.5" customHeight="1">
      <c r="A40" s="588"/>
      <c r="B40" s="65"/>
      <c r="C40" s="65"/>
      <c r="F40" s="1286" t="s">
        <v>1824</v>
      </c>
      <c r="G40" s="1286"/>
      <c r="H40" s="1286"/>
      <c r="I40" s="1286"/>
      <c r="J40" s="1286"/>
      <c r="K40" s="1286"/>
      <c r="L40" s="1286"/>
      <c r="M40" s="1286"/>
      <c r="N40" s="1286"/>
      <c r="O40" s="1286"/>
      <c r="P40" s="60"/>
      <c r="Q40" s="65"/>
      <c r="R40" s="65"/>
      <c r="S40" s="60"/>
      <c r="T40" s="60"/>
      <c r="U40" s="60"/>
      <c r="V40" s="60"/>
      <c r="W40" s="65"/>
      <c r="X40" s="60"/>
      <c r="Y40" s="60"/>
      <c r="Z40" s="319"/>
      <c r="AA40" s="60"/>
      <c r="AB40" s="60"/>
      <c r="AC40" s="60"/>
      <c r="AD40" s="60"/>
      <c r="AE40" s="60"/>
      <c r="AF40" s="6"/>
      <c r="AG40" s="139"/>
      <c r="AH40" s="139"/>
      <c r="AI40" s="139"/>
      <c r="AJ40" s="139"/>
    </row>
    <row r="41" spans="1:36" s="209" customFormat="1" ht="11.25" customHeight="1">
      <c r="A41" s="588"/>
      <c r="B41" s="65"/>
      <c r="C41" s="65"/>
      <c r="P41" s="60"/>
      <c r="Q41" s="65"/>
      <c r="R41" s="65"/>
      <c r="S41" s="60"/>
      <c r="T41" s="60"/>
      <c r="U41" s="60"/>
      <c r="V41" s="60"/>
      <c r="W41" s="65"/>
      <c r="X41" s="60"/>
      <c r="Y41" s="60"/>
      <c r="Z41" s="319"/>
      <c r="AA41" s="60"/>
      <c r="AB41" s="60"/>
      <c r="AC41" s="60"/>
      <c r="AD41" s="60"/>
      <c r="AE41" s="60"/>
      <c r="AF41" s="6"/>
      <c r="AG41" s="139"/>
      <c r="AH41" s="139"/>
      <c r="AI41" s="139"/>
      <c r="AJ41" s="139"/>
    </row>
    <row r="42" spans="1:36" s="209" customFormat="1" ht="11.25" customHeight="1">
      <c r="A42" s="588"/>
      <c r="B42" s="65"/>
      <c r="C42" s="65"/>
      <c r="P42" s="60"/>
      <c r="Q42" s="65"/>
      <c r="R42" s="65"/>
      <c r="S42" s="60"/>
      <c r="T42" s="60"/>
      <c r="U42" s="60"/>
      <c r="V42" s="60"/>
      <c r="W42" s="65"/>
      <c r="X42" s="60"/>
      <c r="Y42" s="60"/>
      <c r="Z42" s="319"/>
      <c r="AA42" s="60"/>
      <c r="AB42" s="60"/>
      <c r="AC42" s="60"/>
      <c r="AD42" s="60"/>
      <c r="AE42" s="60"/>
      <c r="AF42" s="6"/>
      <c r="AG42" s="139"/>
      <c r="AH42" s="139"/>
      <c r="AI42" s="139"/>
      <c r="AJ42" s="139"/>
    </row>
    <row r="43" spans="1:36" s="209" customFormat="1" ht="11.25" customHeight="1">
      <c r="A43" s="588"/>
      <c r="B43" s="65"/>
      <c r="C43" s="65"/>
      <c r="H43" s="139"/>
      <c r="I43" s="139"/>
      <c r="J43" s="139"/>
      <c r="K43" s="139"/>
      <c r="L43" s="139"/>
      <c r="M43" s="139"/>
      <c r="N43" s="139"/>
      <c r="O43" s="139"/>
      <c r="P43" s="60"/>
      <c r="Q43" s="65"/>
      <c r="R43" s="65"/>
      <c r="S43" s="60"/>
      <c r="T43" s="60"/>
      <c r="U43" s="60"/>
      <c r="V43" s="60"/>
      <c r="W43" s="65"/>
      <c r="X43" s="60"/>
      <c r="Y43" s="60"/>
      <c r="Z43" s="319"/>
      <c r="AA43" s="60"/>
      <c r="AB43" s="60"/>
      <c r="AC43" s="60"/>
      <c r="AD43" s="60"/>
      <c r="AE43" s="60"/>
      <c r="AF43" s="6"/>
      <c r="AG43" s="139"/>
      <c r="AH43" s="139"/>
      <c r="AI43" s="139"/>
      <c r="AJ43" s="139"/>
    </row>
    <row r="44" spans="1:36" s="209" customFormat="1" ht="11.25" customHeight="1">
      <c r="A44" s="588"/>
      <c r="B44" s="65"/>
      <c r="C44" s="65"/>
      <c r="P44" s="60"/>
      <c r="Q44" s="65"/>
      <c r="R44" s="65"/>
      <c r="S44" s="60"/>
      <c r="T44" s="60"/>
      <c r="U44" s="60"/>
      <c r="V44" s="60"/>
      <c r="W44" s="65"/>
      <c r="X44" s="60"/>
      <c r="Y44" s="60"/>
      <c r="Z44" s="319"/>
      <c r="AA44" s="60"/>
      <c r="AB44" s="60"/>
      <c r="AC44" s="60"/>
      <c r="AD44" s="60"/>
      <c r="AE44" s="60"/>
      <c r="AF44" s="6"/>
      <c r="AG44" s="139"/>
      <c r="AH44" s="139"/>
      <c r="AI44" s="139"/>
      <c r="AJ44" s="139"/>
    </row>
    <row r="45" spans="1:36" s="209" customFormat="1" ht="11.25" customHeight="1">
      <c r="A45" s="588"/>
      <c r="B45" s="65"/>
      <c r="C45" s="65"/>
      <c r="P45" s="60"/>
      <c r="Q45" s="65"/>
      <c r="R45" s="65"/>
      <c r="S45" s="60"/>
      <c r="T45" s="60"/>
      <c r="U45" s="60"/>
      <c r="V45" s="60"/>
      <c r="W45" s="65"/>
      <c r="X45" s="60"/>
      <c r="Y45" s="60"/>
      <c r="Z45" s="319"/>
      <c r="AA45" s="60"/>
      <c r="AB45" s="60"/>
      <c r="AC45" s="60"/>
      <c r="AD45" s="60"/>
      <c r="AE45" s="60"/>
      <c r="AF45" s="6"/>
      <c r="AG45" s="139"/>
      <c r="AH45" s="139"/>
      <c r="AI45" s="139"/>
      <c r="AJ45" s="139"/>
    </row>
    <row r="46" spans="1:36" s="209" customFormat="1" ht="11.25" customHeight="1">
      <c r="A46" s="588"/>
      <c r="B46" s="65"/>
      <c r="C46" s="65"/>
      <c r="P46" s="60"/>
      <c r="Q46" s="65"/>
      <c r="R46" s="65"/>
      <c r="S46" s="60"/>
      <c r="T46" s="60"/>
      <c r="U46" s="60"/>
      <c r="V46" s="60"/>
      <c r="W46" s="65"/>
      <c r="X46" s="60"/>
      <c r="Y46" s="60"/>
      <c r="Z46" s="319"/>
      <c r="AA46" s="60"/>
      <c r="AB46" s="60"/>
      <c r="AC46" s="60"/>
      <c r="AD46" s="60"/>
      <c r="AE46" s="60"/>
      <c r="AF46" s="6"/>
      <c r="AG46" s="139"/>
      <c r="AH46" s="139"/>
      <c r="AI46" s="139"/>
      <c r="AJ46" s="139"/>
    </row>
    <row r="47" spans="1:36" s="209" customFormat="1" ht="11.25" customHeight="1">
      <c r="A47" s="588"/>
      <c r="B47" s="65"/>
      <c r="C47" s="65"/>
      <c r="P47" s="60"/>
      <c r="Q47" s="65"/>
      <c r="R47" s="65"/>
      <c r="S47" s="60"/>
      <c r="T47" s="60"/>
      <c r="U47" s="60"/>
      <c r="V47" s="60"/>
      <c r="W47" s="65"/>
      <c r="X47" s="60"/>
      <c r="Y47" s="60"/>
      <c r="Z47" s="319"/>
      <c r="AA47" s="60"/>
      <c r="AB47" s="60"/>
      <c r="AC47" s="60"/>
      <c r="AD47" s="60"/>
      <c r="AE47" s="60"/>
      <c r="AF47" s="6"/>
      <c r="AG47" s="139"/>
      <c r="AH47" s="139"/>
      <c r="AI47" s="139"/>
      <c r="AJ47" s="139"/>
    </row>
    <row r="48" spans="1:36" s="209" customFormat="1" ht="11.25" customHeight="1">
      <c r="A48" s="588"/>
      <c r="B48" s="65"/>
      <c r="C48" s="65"/>
      <c r="P48" s="60"/>
      <c r="Q48" s="65"/>
      <c r="R48" s="65"/>
      <c r="S48" s="60"/>
      <c r="T48" s="60"/>
      <c r="U48" s="60"/>
      <c r="V48" s="60"/>
      <c r="W48" s="65"/>
      <c r="X48" s="60"/>
      <c r="Y48" s="60"/>
      <c r="Z48" s="319"/>
      <c r="AA48" s="60"/>
      <c r="AB48" s="60"/>
      <c r="AC48" s="60"/>
      <c r="AD48" s="60"/>
      <c r="AE48" s="60"/>
      <c r="AF48" s="6"/>
      <c r="AG48" s="139"/>
      <c r="AH48" s="139"/>
      <c r="AI48" s="139"/>
      <c r="AJ48" s="139"/>
    </row>
    <row r="49" spans="1:36" s="209" customFormat="1" ht="11.25" customHeight="1">
      <c r="A49" s="588"/>
      <c r="B49" s="65"/>
      <c r="C49" s="65"/>
      <c r="P49" s="60"/>
      <c r="Q49" s="65"/>
      <c r="R49" s="65"/>
      <c r="S49" s="60"/>
      <c r="T49" s="60"/>
      <c r="U49" s="60"/>
      <c r="V49" s="60"/>
      <c r="W49" s="65"/>
      <c r="X49" s="60"/>
      <c r="Y49" s="60"/>
      <c r="Z49" s="319"/>
      <c r="AA49" s="60"/>
      <c r="AB49" s="60"/>
      <c r="AC49" s="60"/>
      <c r="AD49" s="60"/>
      <c r="AE49" s="60"/>
      <c r="AF49" s="6"/>
      <c r="AG49" s="139"/>
      <c r="AH49" s="139"/>
      <c r="AI49" s="139"/>
      <c r="AJ49" s="139"/>
    </row>
    <row r="50" spans="1:36" s="209" customFormat="1" ht="11.25" customHeight="1">
      <c r="A50" s="588"/>
      <c r="B50" s="65"/>
      <c r="C50" s="65"/>
      <c r="P50" s="60"/>
      <c r="Q50" s="65"/>
      <c r="R50" s="65"/>
      <c r="S50" s="60"/>
      <c r="T50" s="60"/>
      <c r="U50" s="60"/>
      <c r="V50" s="60"/>
      <c r="W50" s="65"/>
      <c r="X50" s="60"/>
      <c r="Y50" s="60"/>
      <c r="Z50" s="319"/>
      <c r="AA50" s="60"/>
      <c r="AB50" s="60"/>
      <c r="AC50" s="60"/>
      <c r="AD50" s="60"/>
      <c r="AE50" s="60"/>
      <c r="AF50" s="6"/>
      <c r="AG50" s="139"/>
      <c r="AH50" s="139"/>
      <c r="AI50" s="139"/>
      <c r="AJ50" s="139"/>
    </row>
    <row r="51" spans="1:36" s="209" customFormat="1" ht="11.25" customHeight="1">
      <c r="A51" s="588"/>
      <c r="B51" s="65"/>
      <c r="C51" s="65"/>
      <c r="P51" s="60"/>
      <c r="Q51" s="65"/>
      <c r="R51" s="65"/>
      <c r="S51" s="60"/>
      <c r="T51" s="60"/>
      <c r="U51" s="60"/>
      <c r="V51" s="60"/>
      <c r="W51" s="65"/>
      <c r="X51" s="60"/>
      <c r="Y51" s="60"/>
      <c r="Z51" s="319"/>
      <c r="AA51" s="60"/>
      <c r="AB51" s="60"/>
      <c r="AC51" s="60"/>
      <c r="AD51" s="60"/>
      <c r="AE51" s="60"/>
      <c r="AF51" s="6"/>
      <c r="AG51" s="139"/>
      <c r="AH51" s="139"/>
      <c r="AI51" s="139"/>
      <c r="AJ51" s="139"/>
    </row>
    <row r="52" spans="1:36" s="209" customFormat="1" ht="11.25" customHeight="1">
      <c r="A52" s="588"/>
      <c r="B52" s="65"/>
      <c r="C52" s="65"/>
      <c r="P52" s="60"/>
      <c r="Q52" s="65"/>
      <c r="R52" s="65"/>
      <c r="S52" s="60"/>
      <c r="T52" s="60"/>
      <c r="U52" s="60"/>
      <c r="V52" s="60"/>
      <c r="W52" s="65"/>
      <c r="X52" s="60"/>
      <c r="Y52" s="60"/>
      <c r="Z52" s="319"/>
      <c r="AA52" s="60"/>
      <c r="AB52" s="60"/>
      <c r="AC52" s="60"/>
      <c r="AD52" s="60"/>
      <c r="AE52" s="60"/>
      <c r="AF52" s="6"/>
      <c r="AG52" s="139"/>
      <c r="AH52" s="139"/>
      <c r="AI52" s="139"/>
      <c r="AJ52" s="139"/>
    </row>
    <row r="53" spans="1:36" s="209" customFormat="1" ht="11.25" customHeight="1">
      <c r="A53" s="588"/>
      <c r="B53" s="65"/>
      <c r="C53" s="65"/>
      <c r="P53" s="60"/>
      <c r="Q53" s="65"/>
      <c r="R53" s="65"/>
      <c r="S53" s="60"/>
      <c r="T53" s="60"/>
      <c r="U53" s="60"/>
      <c r="V53" s="60"/>
      <c r="W53" s="65"/>
      <c r="X53" s="60"/>
      <c r="Y53" s="60"/>
      <c r="Z53" s="319"/>
      <c r="AA53" s="60"/>
      <c r="AB53" s="60"/>
      <c r="AC53" s="60"/>
      <c r="AD53" s="60"/>
      <c r="AE53" s="60"/>
      <c r="AF53" s="6"/>
      <c r="AG53" s="139"/>
      <c r="AH53" s="139"/>
      <c r="AI53" s="139"/>
      <c r="AJ53" s="139"/>
    </row>
    <row r="54" spans="1:36" s="209" customFormat="1" ht="11.25" customHeight="1">
      <c r="A54" s="588"/>
      <c r="B54" s="65"/>
      <c r="C54" s="65"/>
      <c r="P54" s="60"/>
      <c r="Q54" s="65"/>
      <c r="R54" s="65"/>
      <c r="S54" s="60"/>
      <c r="T54" s="60"/>
      <c r="U54" s="60"/>
      <c r="V54" s="60"/>
      <c r="W54" s="65"/>
      <c r="X54" s="60"/>
      <c r="Y54" s="60"/>
      <c r="Z54" s="319"/>
      <c r="AA54" s="60"/>
      <c r="AB54" s="60"/>
      <c r="AC54" s="60"/>
      <c r="AD54" s="60"/>
      <c r="AE54" s="60"/>
      <c r="AF54" s="6"/>
      <c r="AG54" s="139"/>
      <c r="AH54" s="139"/>
      <c r="AI54" s="139"/>
      <c r="AJ54" s="139"/>
    </row>
    <row r="55" spans="1:36" s="209" customFormat="1" ht="11.25" customHeight="1">
      <c r="A55" s="588"/>
      <c r="B55" s="65"/>
      <c r="C55" s="65"/>
      <c r="P55" s="60"/>
      <c r="Q55" s="65"/>
      <c r="R55" s="65"/>
      <c r="S55" s="60"/>
      <c r="T55" s="60"/>
      <c r="U55" s="60"/>
      <c r="V55" s="60"/>
      <c r="W55" s="65"/>
      <c r="X55" s="60"/>
      <c r="Y55" s="60"/>
      <c r="Z55" s="319"/>
      <c r="AA55" s="60"/>
      <c r="AB55" s="60"/>
      <c r="AC55" s="60"/>
      <c r="AD55" s="60"/>
      <c r="AE55" s="60"/>
      <c r="AF55" s="6"/>
      <c r="AG55" s="139"/>
      <c r="AH55" s="139"/>
      <c r="AI55" s="139"/>
      <c r="AJ55" s="139"/>
    </row>
    <row r="56" spans="1:36" s="209" customFormat="1" ht="11.25" customHeight="1">
      <c r="A56" s="588"/>
      <c r="B56" s="65"/>
      <c r="C56" s="65"/>
      <c r="P56" s="60"/>
      <c r="Q56" s="65"/>
      <c r="R56" s="65"/>
      <c r="S56" s="60"/>
      <c r="T56" s="60"/>
      <c r="U56" s="60"/>
      <c r="V56" s="60"/>
      <c r="W56" s="65"/>
      <c r="X56" s="60"/>
      <c r="Y56" s="60"/>
      <c r="Z56" s="319"/>
      <c r="AA56" s="60"/>
      <c r="AB56" s="60"/>
      <c r="AC56" s="60"/>
      <c r="AD56" s="60"/>
      <c r="AE56" s="60"/>
      <c r="AF56" s="6"/>
      <c r="AG56" s="139"/>
      <c r="AH56" s="139"/>
      <c r="AI56" s="139"/>
      <c r="AJ56" s="139"/>
    </row>
    <row r="57" spans="1:36" s="209" customFormat="1" ht="11.25" customHeight="1">
      <c r="A57" s="588"/>
      <c r="B57" s="65"/>
      <c r="C57" s="65"/>
      <c r="P57" s="60"/>
      <c r="Q57" s="65"/>
      <c r="R57" s="65"/>
      <c r="S57" s="60"/>
      <c r="T57" s="60"/>
      <c r="U57" s="60"/>
      <c r="V57" s="60"/>
      <c r="W57" s="65"/>
      <c r="X57" s="60"/>
      <c r="Y57" s="60"/>
      <c r="Z57" s="319"/>
      <c r="AA57" s="60"/>
      <c r="AB57" s="60"/>
      <c r="AC57" s="60"/>
      <c r="AD57" s="60"/>
      <c r="AE57" s="60"/>
      <c r="AF57" s="6"/>
      <c r="AG57" s="139"/>
      <c r="AH57" s="139"/>
      <c r="AI57" s="139"/>
      <c r="AJ57" s="139"/>
    </row>
    <row r="58" spans="1:36" s="209" customFormat="1" ht="11.25" customHeight="1">
      <c r="A58" s="588"/>
      <c r="B58" s="65"/>
      <c r="C58" s="65"/>
      <c r="P58" s="60"/>
      <c r="Q58" s="65"/>
      <c r="R58" s="65"/>
      <c r="S58" s="60"/>
      <c r="T58" s="60"/>
      <c r="U58" s="60"/>
      <c r="V58" s="60"/>
      <c r="W58" s="65"/>
      <c r="X58" s="60"/>
      <c r="Y58" s="60"/>
      <c r="Z58" s="319"/>
      <c r="AA58" s="60"/>
      <c r="AB58" s="60"/>
      <c r="AC58" s="60"/>
      <c r="AD58" s="60"/>
      <c r="AE58" s="60"/>
      <c r="AF58" s="6"/>
      <c r="AG58" s="139"/>
      <c r="AH58" s="139"/>
      <c r="AI58" s="139"/>
      <c r="AJ58" s="139"/>
    </row>
    <row r="59" spans="1:36" s="209" customFormat="1" ht="11.25" customHeight="1">
      <c r="A59" s="588"/>
      <c r="B59" s="65"/>
      <c r="C59" s="65"/>
      <c r="P59" s="60"/>
      <c r="Q59" s="65"/>
      <c r="R59" s="65"/>
      <c r="S59" s="60"/>
      <c r="T59" s="60"/>
      <c r="U59" s="60"/>
      <c r="V59" s="60"/>
      <c r="W59" s="65"/>
      <c r="X59" s="60"/>
      <c r="Y59" s="60"/>
      <c r="Z59" s="319"/>
      <c r="AA59" s="60"/>
      <c r="AB59" s="60"/>
      <c r="AC59" s="60"/>
      <c r="AD59" s="60"/>
      <c r="AE59" s="60"/>
      <c r="AF59" s="6"/>
      <c r="AG59" s="139"/>
      <c r="AH59" s="139"/>
      <c r="AI59" s="139"/>
      <c r="AJ59" s="139"/>
    </row>
    <row r="60" spans="1:36" s="209" customFormat="1" ht="11.25" customHeight="1">
      <c r="A60" s="588"/>
      <c r="B60" s="65"/>
      <c r="C60" s="65"/>
      <c r="P60" s="60"/>
      <c r="Q60" s="65"/>
      <c r="R60" s="65"/>
      <c r="S60" s="60"/>
      <c r="T60" s="60"/>
      <c r="U60" s="60"/>
      <c r="V60" s="60"/>
      <c r="W60" s="65"/>
      <c r="X60" s="60"/>
      <c r="Y60" s="60"/>
      <c r="Z60" s="319"/>
      <c r="AA60" s="60"/>
      <c r="AB60" s="60"/>
      <c r="AC60" s="60"/>
      <c r="AD60" s="60"/>
      <c r="AE60" s="60"/>
      <c r="AF60" s="6"/>
      <c r="AG60" s="139"/>
      <c r="AH60" s="139"/>
      <c r="AI60" s="139"/>
      <c r="AJ60" s="139"/>
    </row>
    <row r="61" spans="1:36" s="209" customFormat="1" ht="11.25" customHeight="1">
      <c r="A61" s="588"/>
      <c r="B61" s="65"/>
      <c r="C61" s="65"/>
      <c r="P61" s="60"/>
      <c r="Q61" s="65"/>
      <c r="R61" s="65"/>
      <c r="S61" s="60"/>
      <c r="T61" s="60"/>
      <c r="U61" s="60"/>
      <c r="V61" s="60"/>
      <c r="W61" s="65"/>
      <c r="X61" s="60"/>
      <c r="Y61" s="60"/>
      <c r="Z61" s="319"/>
      <c r="AA61" s="60"/>
      <c r="AB61" s="60"/>
      <c r="AC61" s="60"/>
      <c r="AD61" s="60"/>
      <c r="AE61" s="60"/>
      <c r="AF61" s="6"/>
      <c r="AG61" s="139"/>
      <c r="AH61" s="139"/>
      <c r="AI61" s="139"/>
      <c r="AJ61" s="139"/>
    </row>
    <row r="62" spans="1:36" s="209" customFormat="1" ht="11.25" customHeight="1">
      <c r="A62" s="588"/>
      <c r="B62" s="65"/>
      <c r="C62" s="65"/>
      <c r="P62" s="60"/>
      <c r="Q62" s="65"/>
      <c r="R62" s="65"/>
      <c r="S62" s="60"/>
      <c r="T62" s="60"/>
      <c r="U62" s="60"/>
      <c r="V62" s="60"/>
      <c r="W62" s="65"/>
      <c r="X62" s="60"/>
      <c r="Y62" s="60"/>
      <c r="Z62" s="319"/>
      <c r="AA62" s="60"/>
      <c r="AB62" s="60"/>
      <c r="AC62" s="60"/>
      <c r="AD62" s="60"/>
      <c r="AE62" s="60"/>
      <c r="AF62" s="6"/>
      <c r="AG62" s="139"/>
      <c r="AH62" s="139"/>
      <c r="AI62" s="139"/>
      <c r="AJ62" s="139"/>
    </row>
    <row r="63" spans="1:36" s="209" customFormat="1" ht="11.25" customHeight="1">
      <c r="A63" s="588"/>
      <c r="B63" s="65"/>
      <c r="C63" s="65"/>
      <c r="P63" s="60"/>
      <c r="Q63" s="65"/>
      <c r="R63" s="65"/>
      <c r="S63" s="60"/>
      <c r="T63" s="60"/>
      <c r="U63" s="60"/>
      <c r="V63" s="60"/>
      <c r="W63" s="65"/>
      <c r="X63" s="60"/>
      <c r="Y63" s="60"/>
      <c r="Z63" s="319"/>
      <c r="AA63" s="60"/>
      <c r="AB63" s="60"/>
      <c r="AC63" s="60"/>
      <c r="AD63" s="60"/>
      <c r="AE63" s="60"/>
      <c r="AF63" s="6"/>
      <c r="AG63" s="139"/>
      <c r="AH63" s="139"/>
      <c r="AI63" s="139"/>
      <c r="AJ63" s="139"/>
    </row>
    <row r="64" spans="1:36" s="209" customFormat="1" ht="11.25" customHeight="1">
      <c r="A64" s="588"/>
      <c r="B64" s="65"/>
      <c r="C64" s="65"/>
      <c r="P64" s="60"/>
      <c r="Q64" s="65"/>
      <c r="R64" s="65"/>
      <c r="S64" s="60"/>
      <c r="T64" s="60"/>
      <c r="U64" s="60"/>
      <c r="V64" s="60"/>
      <c r="W64" s="65"/>
      <c r="X64" s="60"/>
      <c r="Y64" s="60"/>
      <c r="Z64" s="319"/>
      <c r="AA64" s="60"/>
      <c r="AB64" s="60"/>
      <c r="AC64" s="60"/>
      <c r="AD64" s="60"/>
      <c r="AE64" s="60"/>
      <c r="AF64" s="6"/>
      <c r="AG64" s="139"/>
      <c r="AH64" s="139"/>
      <c r="AI64" s="139"/>
      <c r="AJ64" s="139"/>
    </row>
    <row r="65" spans="1:36" s="209" customFormat="1" ht="11.25" customHeight="1">
      <c r="A65" s="588"/>
      <c r="B65" s="65"/>
      <c r="C65" s="65"/>
      <c r="P65" s="60"/>
      <c r="Q65" s="65"/>
      <c r="R65" s="65"/>
      <c r="S65" s="60"/>
      <c r="T65" s="60"/>
      <c r="U65" s="60"/>
      <c r="V65" s="60"/>
      <c r="W65" s="65"/>
      <c r="X65" s="60"/>
      <c r="Y65" s="60"/>
      <c r="Z65" s="319"/>
      <c r="AA65" s="60"/>
      <c r="AB65" s="60"/>
      <c r="AC65" s="60"/>
      <c r="AD65" s="60"/>
      <c r="AE65" s="60"/>
      <c r="AF65" s="6"/>
      <c r="AG65" s="139"/>
      <c r="AH65" s="139"/>
      <c r="AI65" s="139"/>
      <c r="AJ65" s="139"/>
    </row>
    <row r="66" spans="1:36" s="209" customFormat="1" ht="11.25" customHeight="1">
      <c r="A66" s="588"/>
      <c r="B66" s="65"/>
      <c r="C66" s="65"/>
      <c r="P66" s="60"/>
      <c r="Q66" s="65"/>
      <c r="R66" s="65"/>
      <c r="S66" s="60"/>
      <c r="T66" s="60"/>
      <c r="U66" s="60"/>
      <c r="V66" s="60"/>
      <c r="W66" s="65"/>
      <c r="X66" s="60"/>
      <c r="Y66" s="60"/>
      <c r="Z66" s="319"/>
      <c r="AA66" s="60"/>
      <c r="AB66" s="60"/>
      <c r="AC66" s="60"/>
      <c r="AD66" s="60"/>
      <c r="AE66" s="60"/>
      <c r="AF66" s="6"/>
      <c r="AG66" s="139"/>
      <c r="AH66" s="139"/>
      <c r="AI66" s="139"/>
      <c r="AJ66" s="139"/>
    </row>
    <row r="67" spans="1:36" s="209" customFormat="1" ht="11.25" customHeight="1">
      <c r="A67" s="588"/>
      <c r="B67" s="65"/>
      <c r="C67" s="65"/>
      <c r="P67" s="60"/>
      <c r="Q67" s="65"/>
      <c r="R67" s="65"/>
      <c r="S67" s="60"/>
      <c r="T67" s="60"/>
      <c r="U67" s="60"/>
      <c r="V67" s="60"/>
      <c r="W67" s="65"/>
      <c r="X67" s="60"/>
      <c r="Y67" s="60"/>
      <c r="Z67" s="319"/>
      <c r="AA67" s="60"/>
      <c r="AB67" s="60"/>
      <c r="AC67" s="60"/>
      <c r="AD67" s="60"/>
      <c r="AE67" s="60"/>
      <c r="AF67" s="6"/>
      <c r="AG67" s="139"/>
      <c r="AH67" s="139"/>
      <c r="AI67" s="139"/>
      <c r="AJ67" s="139"/>
    </row>
    <row r="68" spans="1:36" s="209" customFormat="1" ht="11.25" customHeight="1">
      <c r="A68" s="588"/>
      <c r="B68" s="65"/>
      <c r="C68" s="65"/>
      <c r="P68" s="60"/>
      <c r="Q68" s="65"/>
      <c r="R68" s="65"/>
      <c r="S68" s="60"/>
      <c r="T68" s="60"/>
      <c r="U68" s="60"/>
      <c r="V68" s="60"/>
      <c r="W68" s="65"/>
      <c r="X68" s="60"/>
      <c r="Y68" s="60"/>
      <c r="Z68" s="319"/>
      <c r="AA68" s="60"/>
      <c r="AB68" s="60"/>
      <c r="AC68" s="60"/>
      <c r="AD68" s="60"/>
      <c r="AE68" s="60"/>
      <c r="AF68" s="6"/>
      <c r="AG68" s="139"/>
      <c r="AH68" s="139"/>
      <c r="AI68" s="139"/>
      <c r="AJ68" s="139"/>
    </row>
    <row r="69" spans="1:36" s="209" customFormat="1" ht="11.25" customHeight="1">
      <c r="A69" s="588"/>
      <c r="B69" s="65"/>
      <c r="C69" s="65"/>
      <c r="P69" s="60"/>
      <c r="Q69" s="65"/>
      <c r="R69" s="65"/>
      <c r="S69" s="60"/>
      <c r="T69" s="60"/>
      <c r="U69" s="60"/>
      <c r="V69" s="60"/>
      <c r="W69" s="65"/>
      <c r="X69" s="60"/>
      <c r="Y69" s="60"/>
      <c r="Z69" s="319"/>
      <c r="AA69" s="60"/>
      <c r="AB69" s="60"/>
      <c r="AC69" s="60"/>
      <c r="AD69" s="60"/>
      <c r="AE69" s="60"/>
      <c r="AF69" s="6"/>
      <c r="AG69" s="139"/>
      <c r="AH69" s="139"/>
      <c r="AI69" s="139"/>
      <c r="AJ69" s="139"/>
    </row>
    <row r="70" spans="1:36" s="209" customFormat="1" ht="11.25" customHeight="1">
      <c r="A70" s="588"/>
      <c r="B70" s="65"/>
      <c r="C70" s="65"/>
      <c r="P70" s="60"/>
      <c r="Q70" s="65"/>
      <c r="R70" s="65"/>
      <c r="S70" s="60"/>
      <c r="T70" s="60"/>
      <c r="U70" s="60"/>
      <c r="V70" s="60"/>
      <c r="W70" s="65"/>
      <c r="X70" s="60"/>
      <c r="Y70" s="60"/>
      <c r="Z70" s="319"/>
      <c r="AA70" s="60"/>
      <c r="AB70" s="60"/>
      <c r="AC70" s="60"/>
      <c r="AD70" s="60"/>
      <c r="AE70" s="60"/>
      <c r="AF70" s="6"/>
      <c r="AG70" s="139"/>
      <c r="AH70" s="139"/>
      <c r="AI70" s="139"/>
      <c r="AJ70" s="139"/>
    </row>
    <row r="71" spans="1:36" s="209" customFormat="1" ht="11.25" customHeight="1">
      <c r="A71" s="588"/>
      <c r="B71" s="65"/>
      <c r="C71" s="65"/>
      <c r="P71" s="60"/>
      <c r="Q71" s="65"/>
      <c r="R71" s="65"/>
      <c r="S71" s="60"/>
      <c r="T71" s="60"/>
      <c r="U71" s="60"/>
      <c r="V71" s="60"/>
      <c r="W71" s="65"/>
      <c r="X71" s="60"/>
      <c r="Y71" s="60"/>
      <c r="Z71" s="319"/>
      <c r="AA71" s="60"/>
      <c r="AB71" s="60"/>
      <c r="AC71" s="60"/>
      <c r="AD71" s="60"/>
      <c r="AE71" s="60"/>
      <c r="AF71" s="6"/>
      <c r="AG71" s="139"/>
      <c r="AH71" s="139"/>
      <c r="AI71" s="139"/>
      <c r="AJ71" s="139"/>
    </row>
    <row r="72" spans="1:36" s="209" customFormat="1" ht="11.25" customHeight="1">
      <c r="A72" s="588"/>
      <c r="B72" s="65"/>
      <c r="C72" s="65"/>
      <c r="P72" s="60"/>
      <c r="Q72" s="65"/>
      <c r="R72" s="65"/>
      <c r="S72" s="60"/>
      <c r="T72" s="60"/>
      <c r="U72" s="60"/>
      <c r="V72" s="60"/>
      <c r="W72" s="65"/>
      <c r="X72" s="60"/>
      <c r="Y72" s="60"/>
      <c r="Z72" s="319"/>
      <c r="AA72" s="60"/>
      <c r="AB72" s="60"/>
      <c r="AC72" s="60"/>
      <c r="AD72" s="60"/>
      <c r="AE72" s="60"/>
      <c r="AF72" s="6"/>
      <c r="AG72" s="139"/>
      <c r="AH72" s="139"/>
      <c r="AI72" s="139"/>
      <c r="AJ72" s="139"/>
    </row>
    <row r="73" spans="1:36" s="209" customFormat="1" ht="11.25" customHeight="1">
      <c r="A73" s="588"/>
      <c r="B73" s="65"/>
      <c r="C73" s="65"/>
      <c r="P73" s="60"/>
      <c r="Q73" s="65"/>
      <c r="R73" s="65"/>
      <c r="S73" s="60"/>
      <c r="T73" s="60"/>
      <c r="U73" s="60"/>
      <c r="V73" s="60"/>
      <c r="W73" s="65"/>
      <c r="X73" s="60"/>
      <c r="Y73" s="60"/>
      <c r="Z73" s="319"/>
      <c r="AA73" s="60"/>
      <c r="AB73" s="60"/>
      <c r="AC73" s="60"/>
      <c r="AD73" s="60"/>
      <c r="AE73" s="60"/>
      <c r="AF73" s="6"/>
      <c r="AG73" s="139"/>
      <c r="AH73" s="139"/>
      <c r="AI73" s="139"/>
      <c r="AJ73" s="139"/>
    </row>
    <row r="74" spans="1:36" s="209" customFormat="1" ht="11.25" customHeight="1">
      <c r="A74" s="588"/>
      <c r="B74" s="65"/>
      <c r="C74" s="65"/>
      <c r="P74" s="60"/>
      <c r="Q74" s="65"/>
      <c r="R74" s="65"/>
      <c r="S74" s="60"/>
      <c r="T74" s="60"/>
      <c r="U74" s="60"/>
      <c r="V74" s="60"/>
      <c r="W74" s="65"/>
      <c r="X74" s="60"/>
      <c r="Y74" s="60"/>
      <c r="Z74" s="319"/>
      <c r="AA74" s="60"/>
      <c r="AB74" s="60"/>
      <c r="AC74" s="60"/>
      <c r="AD74" s="60"/>
      <c r="AE74" s="60"/>
      <c r="AF74" s="6"/>
      <c r="AG74" s="139"/>
      <c r="AH74" s="139"/>
      <c r="AI74" s="139"/>
      <c r="AJ74" s="139"/>
    </row>
    <row r="75" spans="1:36" s="209" customFormat="1" ht="11.25" customHeight="1">
      <c r="A75" s="588"/>
      <c r="B75" s="65"/>
      <c r="C75" s="65"/>
      <c r="P75" s="60"/>
      <c r="Q75" s="65"/>
      <c r="R75" s="65"/>
      <c r="S75" s="60"/>
      <c r="T75" s="60"/>
      <c r="U75" s="60"/>
      <c r="V75" s="60"/>
      <c r="W75" s="65"/>
      <c r="X75" s="60"/>
      <c r="Y75" s="60"/>
      <c r="Z75" s="319"/>
      <c r="AA75" s="60"/>
      <c r="AB75" s="60"/>
      <c r="AC75" s="60"/>
      <c r="AD75" s="60"/>
      <c r="AE75" s="60"/>
      <c r="AF75" s="6"/>
      <c r="AG75" s="139"/>
      <c r="AH75" s="139"/>
      <c r="AI75" s="139"/>
      <c r="AJ75" s="139"/>
    </row>
    <row r="76" spans="1:36" s="209" customFormat="1" ht="11.25" customHeight="1">
      <c r="A76" s="588"/>
      <c r="B76" s="65"/>
      <c r="C76" s="65"/>
      <c r="P76" s="60"/>
      <c r="Q76" s="65"/>
      <c r="R76" s="65"/>
      <c r="S76" s="60"/>
      <c r="T76" s="60"/>
      <c r="U76" s="60"/>
      <c r="V76" s="60"/>
      <c r="W76" s="65"/>
      <c r="X76" s="60"/>
      <c r="Y76" s="60"/>
      <c r="Z76" s="319"/>
      <c r="AA76" s="60"/>
      <c r="AB76" s="60"/>
      <c r="AC76" s="60"/>
      <c r="AD76" s="60"/>
      <c r="AE76" s="60"/>
      <c r="AF76" s="6"/>
      <c r="AG76" s="139"/>
      <c r="AH76" s="139"/>
      <c r="AI76" s="139"/>
      <c r="AJ76" s="139"/>
    </row>
    <row r="77" spans="1:36" s="209" customFormat="1" ht="11.25" customHeight="1">
      <c r="A77" s="588"/>
      <c r="B77" s="65"/>
      <c r="C77" s="65"/>
      <c r="P77" s="60"/>
      <c r="Q77" s="65"/>
      <c r="R77" s="65"/>
      <c r="S77" s="60"/>
      <c r="T77" s="60"/>
      <c r="U77" s="60"/>
      <c r="V77" s="60"/>
      <c r="W77" s="65"/>
      <c r="X77" s="60"/>
      <c r="Y77" s="60"/>
      <c r="Z77" s="319"/>
      <c r="AA77" s="60"/>
      <c r="AB77" s="60"/>
      <c r="AC77" s="60"/>
      <c r="AD77" s="60"/>
      <c r="AE77" s="60"/>
      <c r="AF77" s="6"/>
      <c r="AG77" s="139"/>
      <c r="AH77" s="139"/>
      <c r="AI77" s="139"/>
      <c r="AJ77" s="139"/>
    </row>
    <row r="78" spans="1:36" s="209" customFormat="1" ht="11.25" customHeight="1">
      <c r="A78" s="588"/>
      <c r="B78" s="65"/>
      <c r="C78" s="65"/>
      <c r="P78" s="60"/>
      <c r="Q78" s="65"/>
      <c r="R78" s="65"/>
      <c r="S78" s="60"/>
      <c r="T78" s="60"/>
      <c r="U78" s="60"/>
      <c r="V78" s="60"/>
      <c r="W78" s="65"/>
      <c r="X78" s="60"/>
      <c r="Y78" s="60"/>
      <c r="Z78" s="319"/>
      <c r="AA78" s="60"/>
      <c r="AB78" s="60"/>
      <c r="AC78" s="60"/>
      <c r="AD78" s="60"/>
      <c r="AE78" s="60"/>
      <c r="AF78" s="6"/>
      <c r="AG78" s="139"/>
      <c r="AH78" s="139"/>
      <c r="AI78" s="139"/>
      <c r="AJ78" s="139"/>
    </row>
    <row r="79" spans="1:36" s="209" customFormat="1" ht="11.25" customHeight="1">
      <c r="A79" s="588"/>
      <c r="B79" s="65"/>
      <c r="C79" s="65"/>
      <c r="P79" s="60"/>
      <c r="Q79" s="65"/>
      <c r="R79" s="65"/>
      <c r="S79" s="60"/>
      <c r="T79" s="60"/>
      <c r="U79" s="60"/>
      <c r="V79" s="60"/>
      <c r="W79" s="65"/>
      <c r="X79" s="60"/>
      <c r="Y79" s="60"/>
      <c r="Z79" s="319"/>
      <c r="AA79" s="60"/>
      <c r="AB79" s="60"/>
      <c r="AC79" s="60"/>
      <c r="AD79" s="60"/>
      <c r="AE79" s="60"/>
      <c r="AF79" s="6"/>
      <c r="AG79" s="139"/>
      <c r="AH79" s="139"/>
      <c r="AI79" s="139"/>
      <c r="AJ79" s="139"/>
    </row>
    <row r="80" spans="1:36" s="209" customFormat="1" ht="11.25" customHeight="1">
      <c r="A80" s="588"/>
      <c r="B80" s="65"/>
      <c r="C80" s="65"/>
      <c r="P80" s="60"/>
      <c r="Q80" s="65"/>
      <c r="R80" s="65"/>
      <c r="S80" s="60"/>
      <c r="T80" s="60"/>
      <c r="U80" s="60"/>
      <c r="V80" s="60"/>
      <c r="W80" s="65"/>
      <c r="X80" s="60"/>
      <c r="Y80" s="60"/>
      <c r="Z80" s="319"/>
      <c r="AA80" s="60"/>
      <c r="AB80" s="60"/>
      <c r="AC80" s="60"/>
      <c r="AD80" s="60"/>
      <c r="AE80" s="60"/>
      <c r="AF80" s="6"/>
      <c r="AG80" s="139"/>
      <c r="AH80" s="139"/>
      <c r="AI80" s="139"/>
      <c r="AJ80" s="139"/>
    </row>
    <row r="81" spans="1:36" s="209" customFormat="1" ht="11.25" customHeight="1">
      <c r="A81" s="588"/>
      <c r="B81" s="65"/>
      <c r="C81" s="65"/>
      <c r="P81" s="60"/>
      <c r="Q81" s="65"/>
      <c r="R81" s="65"/>
      <c r="S81" s="60"/>
      <c r="T81" s="60"/>
      <c r="U81" s="60"/>
      <c r="V81" s="60"/>
      <c r="W81" s="65"/>
      <c r="X81" s="60"/>
      <c r="Y81" s="60"/>
      <c r="Z81" s="319"/>
      <c r="AA81" s="60"/>
      <c r="AB81" s="60"/>
      <c r="AC81" s="60"/>
      <c r="AD81" s="60"/>
      <c r="AE81" s="60"/>
      <c r="AF81" s="6"/>
      <c r="AG81" s="139"/>
      <c r="AH81" s="139"/>
      <c r="AI81" s="139"/>
      <c r="AJ81" s="139"/>
    </row>
    <row r="82" spans="1:36" s="209" customFormat="1" ht="11.25" customHeight="1">
      <c r="A82" s="588"/>
      <c r="B82" s="65"/>
      <c r="C82" s="65"/>
      <c r="P82" s="60"/>
      <c r="Q82" s="65"/>
      <c r="R82" s="65"/>
      <c r="S82" s="60"/>
      <c r="T82" s="60"/>
      <c r="U82" s="60"/>
      <c r="V82" s="60"/>
      <c r="W82" s="65"/>
      <c r="X82" s="60"/>
      <c r="Y82" s="60"/>
      <c r="Z82" s="319"/>
      <c r="AA82" s="60"/>
      <c r="AB82" s="60"/>
      <c r="AC82" s="60"/>
      <c r="AD82" s="60"/>
      <c r="AE82" s="60"/>
      <c r="AF82" s="6"/>
      <c r="AG82" s="139"/>
      <c r="AH82" s="139"/>
      <c r="AI82" s="139"/>
      <c r="AJ82" s="139"/>
    </row>
    <row r="83" spans="1:36" s="209" customFormat="1" ht="11.25" customHeight="1">
      <c r="A83" s="588"/>
      <c r="B83" s="65"/>
      <c r="C83" s="65"/>
      <c r="P83" s="60"/>
      <c r="Q83" s="65"/>
      <c r="R83" s="65"/>
      <c r="S83" s="60"/>
      <c r="T83" s="60"/>
      <c r="U83" s="60"/>
      <c r="V83" s="60"/>
      <c r="W83" s="65"/>
      <c r="X83" s="60"/>
      <c r="Y83" s="60"/>
      <c r="Z83" s="319"/>
      <c r="AA83" s="60"/>
      <c r="AB83" s="60"/>
      <c r="AC83" s="60"/>
      <c r="AD83" s="60"/>
      <c r="AE83" s="60"/>
      <c r="AF83" s="6"/>
      <c r="AG83" s="139"/>
      <c r="AH83" s="139"/>
      <c r="AI83" s="139"/>
      <c r="AJ83" s="139"/>
    </row>
    <row r="84" spans="1:36" s="209" customFormat="1" ht="11.25" customHeight="1">
      <c r="A84" s="588"/>
      <c r="B84" s="65"/>
      <c r="C84" s="65"/>
      <c r="P84" s="60"/>
      <c r="Q84" s="65"/>
      <c r="R84" s="65"/>
      <c r="S84" s="60"/>
      <c r="T84" s="60"/>
      <c r="U84" s="60"/>
      <c r="V84" s="60"/>
      <c r="W84" s="65"/>
      <c r="X84" s="60"/>
      <c r="Y84" s="60"/>
      <c r="Z84" s="319"/>
      <c r="AA84" s="60"/>
      <c r="AB84" s="60"/>
      <c r="AC84" s="60"/>
      <c r="AD84" s="60"/>
      <c r="AE84" s="60"/>
      <c r="AF84" s="6"/>
      <c r="AG84" s="139"/>
      <c r="AH84" s="139"/>
      <c r="AI84" s="139"/>
      <c r="AJ84" s="139"/>
    </row>
    <row r="85" spans="1:36" s="209" customFormat="1" ht="11.25" customHeight="1">
      <c r="A85" s="588"/>
      <c r="B85" s="65"/>
      <c r="C85" s="65"/>
      <c r="P85" s="60"/>
      <c r="Q85" s="65"/>
      <c r="R85" s="65"/>
      <c r="S85" s="60"/>
      <c r="T85" s="60"/>
      <c r="U85" s="60"/>
      <c r="V85" s="60"/>
      <c r="W85" s="65"/>
      <c r="X85" s="60"/>
      <c r="Y85" s="60"/>
      <c r="Z85" s="319"/>
      <c r="AA85" s="60"/>
      <c r="AB85" s="60"/>
      <c r="AC85" s="60"/>
      <c r="AD85" s="60"/>
      <c r="AE85" s="60"/>
      <c r="AF85" s="6"/>
      <c r="AG85" s="139"/>
      <c r="AH85" s="139"/>
      <c r="AI85" s="139"/>
      <c r="AJ85" s="139"/>
    </row>
    <row r="86" spans="1:36" s="209" customFormat="1" ht="11.25" customHeight="1">
      <c r="A86" s="588"/>
      <c r="B86" s="65"/>
      <c r="C86" s="65"/>
      <c r="P86" s="60"/>
      <c r="Q86" s="65"/>
      <c r="R86" s="65"/>
      <c r="S86" s="60"/>
      <c r="T86" s="60"/>
      <c r="U86" s="60"/>
      <c r="V86" s="60"/>
      <c r="W86" s="65"/>
      <c r="X86" s="60"/>
      <c r="Y86" s="60"/>
      <c r="Z86" s="319"/>
      <c r="AA86" s="60"/>
      <c r="AB86" s="60"/>
      <c r="AC86" s="60"/>
      <c r="AD86" s="60"/>
      <c r="AE86" s="60"/>
      <c r="AF86" s="6"/>
      <c r="AG86" s="139"/>
      <c r="AH86" s="139"/>
      <c r="AI86" s="139"/>
      <c r="AJ86" s="139"/>
    </row>
    <row r="87" spans="1:36" s="209" customFormat="1" ht="11.25" customHeight="1">
      <c r="A87" s="588"/>
      <c r="B87" s="65"/>
      <c r="C87" s="65"/>
      <c r="P87" s="60"/>
      <c r="Q87" s="65"/>
      <c r="R87" s="65"/>
      <c r="S87" s="60"/>
      <c r="T87" s="60"/>
      <c r="U87" s="60"/>
      <c r="V87" s="60"/>
      <c r="W87" s="65"/>
      <c r="X87" s="60"/>
      <c r="Y87" s="60"/>
      <c r="Z87" s="319"/>
      <c r="AA87" s="60"/>
      <c r="AB87" s="60"/>
      <c r="AC87" s="60"/>
      <c r="AD87" s="60"/>
      <c r="AE87" s="60"/>
      <c r="AF87" s="6"/>
      <c r="AG87" s="139"/>
      <c r="AH87" s="139"/>
      <c r="AI87" s="139"/>
      <c r="AJ87" s="139"/>
    </row>
    <row r="88" spans="1:36" s="209" customFormat="1" ht="11.25" customHeight="1">
      <c r="A88" s="588"/>
      <c r="B88" s="65"/>
      <c r="C88" s="65"/>
      <c r="P88" s="60"/>
      <c r="Q88" s="65"/>
      <c r="R88" s="65"/>
      <c r="S88" s="60"/>
      <c r="T88" s="60"/>
      <c r="U88" s="60"/>
      <c r="V88" s="60"/>
      <c r="W88" s="65"/>
      <c r="X88" s="60"/>
      <c r="Y88" s="60"/>
      <c r="Z88" s="319"/>
      <c r="AA88" s="60"/>
      <c r="AB88" s="60"/>
      <c r="AC88" s="60"/>
      <c r="AD88" s="60"/>
      <c r="AE88" s="60"/>
      <c r="AF88" s="6"/>
      <c r="AG88" s="139"/>
      <c r="AH88" s="139"/>
      <c r="AI88" s="139"/>
      <c r="AJ88" s="139"/>
    </row>
    <row r="89" spans="1:36" s="209" customFormat="1" ht="11.25" customHeight="1">
      <c r="A89" s="588"/>
      <c r="B89" s="65"/>
      <c r="C89" s="65"/>
      <c r="P89" s="60"/>
      <c r="Q89" s="65"/>
      <c r="R89" s="65"/>
      <c r="S89" s="60"/>
      <c r="T89" s="60"/>
      <c r="U89" s="60"/>
      <c r="V89" s="60"/>
      <c r="W89" s="65"/>
      <c r="X89" s="60"/>
      <c r="Y89" s="60"/>
      <c r="Z89" s="319"/>
      <c r="AA89" s="60"/>
      <c r="AB89" s="60"/>
      <c r="AC89" s="60"/>
      <c r="AD89" s="60"/>
      <c r="AE89" s="60"/>
      <c r="AF89" s="6"/>
      <c r="AG89" s="139"/>
      <c r="AH89" s="139"/>
      <c r="AI89" s="139"/>
      <c r="AJ89" s="139"/>
    </row>
    <row r="90" spans="1:36" s="209" customFormat="1" ht="11.25" customHeight="1">
      <c r="A90" s="588"/>
      <c r="B90" s="65"/>
      <c r="C90" s="65"/>
      <c r="P90" s="60"/>
      <c r="Q90" s="65"/>
      <c r="R90" s="65"/>
      <c r="S90" s="60"/>
      <c r="T90" s="60"/>
      <c r="U90" s="60"/>
      <c r="V90" s="60"/>
      <c r="W90" s="65"/>
      <c r="X90" s="60"/>
      <c r="Y90" s="60"/>
      <c r="Z90" s="319"/>
      <c r="AA90" s="60"/>
      <c r="AB90" s="60"/>
      <c r="AC90" s="60"/>
      <c r="AD90" s="60"/>
      <c r="AE90" s="60"/>
      <c r="AF90" s="6"/>
      <c r="AG90" s="139"/>
      <c r="AH90" s="139"/>
      <c r="AI90" s="139"/>
      <c r="AJ90" s="139"/>
    </row>
    <row r="91" spans="1:36" s="209" customFormat="1" ht="11.25" customHeight="1">
      <c r="A91" s="588"/>
      <c r="B91" s="65"/>
      <c r="C91" s="65"/>
      <c r="P91" s="60"/>
      <c r="Q91" s="65"/>
      <c r="R91" s="65"/>
      <c r="S91" s="60"/>
      <c r="T91" s="60"/>
      <c r="U91" s="60"/>
      <c r="V91" s="60"/>
      <c r="W91" s="65"/>
      <c r="X91" s="60"/>
      <c r="Y91" s="60"/>
      <c r="Z91" s="319"/>
      <c r="AA91" s="60"/>
      <c r="AB91" s="60"/>
      <c r="AC91" s="60"/>
      <c r="AD91" s="60"/>
      <c r="AE91" s="60"/>
      <c r="AF91" s="6"/>
      <c r="AG91" s="139"/>
      <c r="AH91" s="139"/>
      <c r="AI91" s="139"/>
      <c r="AJ91" s="139"/>
    </row>
    <row r="92" spans="1:36" s="209" customFormat="1" ht="11.25" customHeight="1">
      <c r="A92" s="588"/>
      <c r="B92" s="65"/>
      <c r="C92" s="65"/>
      <c r="P92" s="60"/>
      <c r="Q92" s="65"/>
      <c r="R92" s="65"/>
      <c r="S92" s="60"/>
      <c r="T92" s="60"/>
      <c r="U92" s="60"/>
      <c r="V92" s="60"/>
      <c r="W92" s="65"/>
      <c r="X92" s="60"/>
      <c r="Y92" s="60"/>
      <c r="Z92" s="319"/>
      <c r="AA92" s="60"/>
      <c r="AB92" s="60"/>
      <c r="AC92" s="60"/>
      <c r="AD92" s="60"/>
      <c r="AE92" s="60"/>
      <c r="AF92" s="6"/>
      <c r="AG92" s="139"/>
      <c r="AH92" s="139"/>
      <c r="AI92" s="139"/>
      <c r="AJ92" s="139"/>
    </row>
    <row r="93" spans="1:36" s="209" customFormat="1" ht="11.25" customHeight="1">
      <c r="A93" s="588"/>
      <c r="B93" s="65"/>
      <c r="C93" s="65"/>
      <c r="P93" s="60"/>
      <c r="Q93" s="65"/>
      <c r="R93" s="65"/>
      <c r="S93" s="60"/>
      <c r="T93" s="60"/>
      <c r="U93" s="60"/>
      <c r="V93" s="60"/>
      <c r="W93" s="65"/>
      <c r="X93" s="60"/>
      <c r="Y93" s="60"/>
      <c r="Z93" s="319"/>
      <c r="AA93" s="60"/>
      <c r="AB93" s="60"/>
      <c r="AC93" s="60"/>
      <c r="AD93" s="60"/>
      <c r="AE93" s="60"/>
      <c r="AF93" s="6"/>
      <c r="AG93" s="139"/>
      <c r="AH93" s="139"/>
      <c r="AI93" s="139"/>
      <c r="AJ93" s="139"/>
    </row>
    <row r="94" spans="1:36" s="209" customFormat="1" ht="11.25" customHeight="1">
      <c r="A94" s="588"/>
      <c r="B94" s="65"/>
      <c r="C94" s="65"/>
      <c r="P94" s="60"/>
      <c r="Q94" s="65"/>
      <c r="R94" s="65"/>
      <c r="S94" s="60"/>
      <c r="T94" s="60"/>
      <c r="U94" s="60"/>
      <c r="V94" s="60"/>
      <c r="W94" s="65"/>
      <c r="X94" s="60"/>
      <c r="Y94" s="60"/>
      <c r="Z94" s="319"/>
      <c r="AA94" s="60"/>
      <c r="AB94" s="60"/>
      <c r="AC94" s="60"/>
      <c r="AD94" s="60"/>
      <c r="AE94" s="60"/>
      <c r="AF94" s="6"/>
      <c r="AG94" s="139"/>
      <c r="AH94" s="139"/>
      <c r="AI94" s="139"/>
      <c r="AJ94" s="139"/>
    </row>
    <row r="95" spans="1:36" s="209" customFormat="1" ht="11.25" customHeight="1">
      <c r="A95" s="588"/>
      <c r="B95" s="65"/>
      <c r="C95" s="65"/>
      <c r="P95" s="60"/>
      <c r="Q95" s="65"/>
      <c r="R95" s="65"/>
      <c r="S95" s="60"/>
      <c r="T95" s="60"/>
      <c r="U95" s="60"/>
      <c r="V95" s="60"/>
      <c r="W95" s="65"/>
      <c r="X95" s="60"/>
      <c r="Y95" s="60"/>
      <c r="Z95" s="319"/>
      <c r="AA95" s="60"/>
      <c r="AB95" s="60"/>
      <c r="AC95" s="60"/>
      <c r="AD95" s="60"/>
      <c r="AE95" s="60"/>
      <c r="AF95" s="6"/>
      <c r="AG95" s="139"/>
      <c r="AH95" s="139"/>
      <c r="AI95" s="139"/>
      <c r="AJ95" s="139"/>
    </row>
    <row r="96" spans="1:36" s="209" customFormat="1" ht="11.25" customHeight="1">
      <c r="A96" s="588"/>
      <c r="B96" s="65"/>
      <c r="C96" s="65"/>
      <c r="P96" s="60"/>
      <c r="Q96" s="65"/>
      <c r="R96" s="65"/>
      <c r="S96" s="60"/>
      <c r="T96" s="60"/>
      <c r="U96" s="60"/>
      <c r="V96" s="60"/>
      <c r="W96" s="65"/>
      <c r="X96" s="60"/>
      <c r="Y96" s="60"/>
      <c r="Z96" s="319"/>
      <c r="AA96" s="60"/>
      <c r="AB96" s="60"/>
      <c r="AC96" s="60"/>
      <c r="AD96" s="60"/>
      <c r="AE96" s="60"/>
      <c r="AF96" s="6"/>
      <c r="AG96" s="139"/>
      <c r="AH96" s="139"/>
      <c r="AI96" s="139"/>
      <c r="AJ96" s="139"/>
    </row>
    <row r="97" spans="1:36" s="209" customFormat="1" ht="11.25" customHeight="1">
      <c r="A97" s="588"/>
      <c r="B97" s="65"/>
      <c r="C97" s="65"/>
      <c r="P97" s="60"/>
      <c r="Q97" s="65"/>
      <c r="R97" s="65"/>
      <c r="S97" s="60"/>
      <c r="T97" s="60"/>
      <c r="U97" s="60"/>
      <c r="V97" s="60"/>
      <c r="W97" s="65"/>
      <c r="X97" s="60"/>
      <c r="Y97" s="60"/>
      <c r="Z97" s="319"/>
      <c r="AA97" s="60"/>
      <c r="AB97" s="60"/>
      <c r="AC97" s="60"/>
      <c r="AD97" s="60"/>
      <c r="AE97" s="60"/>
      <c r="AF97" s="6"/>
      <c r="AG97" s="139"/>
      <c r="AH97" s="139"/>
      <c r="AI97" s="139"/>
      <c r="AJ97" s="139"/>
    </row>
    <row r="98" spans="1:36" s="209" customFormat="1" ht="11.25" customHeight="1">
      <c r="A98" s="588"/>
      <c r="B98" s="65"/>
      <c r="C98" s="65"/>
      <c r="P98" s="60"/>
      <c r="Q98" s="65"/>
      <c r="R98" s="65"/>
      <c r="S98" s="60"/>
      <c r="T98" s="60"/>
      <c r="U98" s="60"/>
      <c r="V98" s="60"/>
      <c r="W98" s="65"/>
      <c r="X98" s="60"/>
      <c r="Y98" s="60"/>
      <c r="Z98" s="319"/>
      <c r="AA98" s="60"/>
      <c r="AB98" s="60"/>
      <c r="AC98" s="60"/>
      <c r="AD98" s="60"/>
      <c r="AE98" s="60"/>
      <c r="AF98" s="6"/>
      <c r="AG98" s="139"/>
      <c r="AH98" s="139"/>
      <c r="AI98" s="139"/>
      <c r="AJ98" s="139"/>
    </row>
    <row r="99" spans="1:36" s="209" customFormat="1" ht="11.25" customHeight="1">
      <c r="A99" s="588"/>
      <c r="B99" s="65"/>
      <c r="C99" s="65"/>
      <c r="P99" s="60"/>
      <c r="Q99" s="65"/>
      <c r="R99" s="65"/>
      <c r="S99" s="60"/>
      <c r="T99" s="60"/>
      <c r="U99" s="60"/>
      <c r="V99" s="60"/>
      <c r="W99" s="65"/>
      <c r="X99" s="60"/>
      <c r="Y99" s="60"/>
      <c r="Z99" s="319"/>
      <c r="AA99" s="60"/>
      <c r="AB99" s="60"/>
      <c r="AC99" s="60"/>
      <c r="AD99" s="60"/>
      <c r="AE99" s="60"/>
      <c r="AF99" s="6"/>
      <c r="AG99" s="139"/>
      <c r="AH99" s="139"/>
      <c r="AI99" s="139"/>
      <c r="AJ99" s="139"/>
    </row>
    <row r="100" spans="1:36" s="209" customFormat="1" ht="11.25" customHeight="1">
      <c r="A100" s="588"/>
      <c r="B100" s="65"/>
      <c r="C100" s="65"/>
      <c r="P100" s="60"/>
      <c r="Q100" s="65"/>
      <c r="R100" s="65"/>
      <c r="S100" s="60"/>
      <c r="T100" s="60"/>
      <c r="U100" s="60"/>
      <c r="V100" s="60"/>
      <c r="W100" s="65"/>
      <c r="X100" s="60"/>
      <c r="Y100" s="60"/>
      <c r="Z100" s="319"/>
      <c r="AA100" s="60"/>
      <c r="AB100" s="60"/>
      <c r="AC100" s="60"/>
      <c r="AD100" s="60"/>
      <c r="AE100" s="60"/>
      <c r="AF100" s="6"/>
      <c r="AG100" s="139"/>
      <c r="AH100" s="139"/>
      <c r="AI100" s="139"/>
      <c r="AJ100" s="139"/>
    </row>
    <row r="101" spans="1:36" s="209" customFormat="1" ht="11.25" customHeight="1">
      <c r="A101" s="588"/>
      <c r="B101" s="65"/>
      <c r="C101" s="65"/>
      <c r="P101" s="60"/>
      <c r="Q101" s="65"/>
      <c r="R101" s="65"/>
      <c r="S101" s="60"/>
      <c r="T101" s="60"/>
      <c r="U101" s="60"/>
      <c r="V101" s="60"/>
      <c r="W101" s="65"/>
      <c r="X101" s="60"/>
      <c r="Y101" s="60"/>
      <c r="Z101" s="319"/>
      <c r="AA101" s="60"/>
      <c r="AB101" s="60"/>
      <c r="AC101" s="60"/>
      <c r="AD101" s="60"/>
      <c r="AE101" s="60"/>
      <c r="AF101" s="6"/>
      <c r="AG101" s="139"/>
      <c r="AH101" s="139"/>
      <c r="AI101" s="139"/>
      <c r="AJ101" s="139"/>
    </row>
    <row r="102" spans="1:36" s="209" customFormat="1" ht="11.25" customHeight="1">
      <c r="A102" s="588"/>
      <c r="B102" s="65"/>
      <c r="C102" s="65"/>
      <c r="P102" s="60"/>
      <c r="Q102" s="65"/>
      <c r="R102" s="65"/>
      <c r="S102" s="60"/>
      <c r="T102" s="60"/>
      <c r="U102" s="60"/>
      <c r="V102" s="60"/>
      <c r="W102" s="65"/>
      <c r="X102" s="60"/>
      <c r="Y102" s="60"/>
      <c r="Z102" s="319"/>
      <c r="AA102" s="60"/>
      <c r="AB102" s="60"/>
      <c r="AC102" s="60"/>
      <c r="AD102" s="60"/>
      <c r="AE102" s="60"/>
      <c r="AF102" s="6"/>
      <c r="AG102" s="139"/>
      <c r="AH102" s="139"/>
      <c r="AI102" s="139"/>
      <c r="AJ102" s="139"/>
    </row>
    <row r="103" spans="1:36" s="209" customFormat="1" ht="11.25" customHeight="1">
      <c r="A103" s="588"/>
      <c r="B103" s="65"/>
      <c r="C103" s="65"/>
      <c r="P103" s="60"/>
      <c r="Q103" s="65"/>
      <c r="R103" s="65"/>
      <c r="S103" s="60"/>
      <c r="T103" s="60"/>
      <c r="U103" s="60"/>
      <c r="V103" s="60"/>
      <c r="W103" s="65"/>
      <c r="X103" s="60"/>
      <c r="Y103" s="60"/>
      <c r="Z103" s="319"/>
      <c r="AA103" s="60"/>
      <c r="AB103" s="60"/>
      <c r="AC103" s="60"/>
      <c r="AD103" s="60"/>
      <c r="AE103" s="60"/>
      <c r="AF103" s="6"/>
      <c r="AG103" s="139"/>
      <c r="AH103" s="139"/>
      <c r="AI103" s="139"/>
      <c r="AJ103" s="139"/>
    </row>
    <row r="104" spans="1:36" s="209" customFormat="1" ht="11.25" customHeight="1">
      <c r="A104" s="588"/>
      <c r="B104" s="65"/>
      <c r="C104" s="65"/>
      <c r="P104" s="60"/>
      <c r="Q104" s="65"/>
      <c r="R104" s="65"/>
      <c r="S104" s="60"/>
      <c r="T104" s="60"/>
      <c r="U104" s="60"/>
      <c r="V104" s="60"/>
      <c r="W104" s="65"/>
      <c r="X104" s="60"/>
      <c r="Y104" s="60"/>
      <c r="Z104" s="319"/>
      <c r="AA104" s="60"/>
      <c r="AB104" s="60"/>
      <c r="AC104" s="60"/>
      <c r="AD104" s="60"/>
      <c r="AE104" s="60"/>
      <c r="AF104" s="6"/>
      <c r="AG104" s="139"/>
      <c r="AH104" s="139"/>
      <c r="AI104" s="139"/>
      <c r="AJ104" s="139"/>
    </row>
    <row r="105" spans="1:36" s="209" customFormat="1" ht="11.25" customHeight="1">
      <c r="A105" s="588"/>
      <c r="B105" s="65"/>
      <c r="C105" s="65"/>
      <c r="P105" s="60"/>
      <c r="Q105" s="65"/>
      <c r="R105" s="65"/>
      <c r="S105" s="60"/>
      <c r="T105" s="60"/>
      <c r="U105" s="60"/>
      <c r="V105" s="60"/>
      <c r="W105" s="65"/>
      <c r="X105" s="60"/>
      <c r="Y105" s="60"/>
      <c r="Z105" s="319"/>
      <c r="AA105" s="60"/>
      <c r="AB105" s="60"/>
      <c r="AC105" s="60"/>
      <c r="AD105" s="60"/>
      <c r="AE105" s="60"/>
      <c r="AF105" s="6"/>
      <c r="AG105" s="139"/>
      <c r="AH105" s="139"/>
      <c r="AI105" s="139"/>
      <c r="AJ105" s="139"/>
    </row>
    <row r="106" spans="1:36" s="209" customFormat="1" ht="11.25" customHeight="1">
      <c r="A106" s="588"/>
      <c r="B106" s="65"/>
      <c r="C106" s="65"/>
      <c r="P106" s="60"/>
      <c r="Q106" s="65"/>
      <c r="R106" s="65"/>
      <c r="S106" s="60"/>
      <c r="T106" s="60"/>
      <c r="U106" s="60"/>
      <c r="V106" s="60"/>
      <c r="W106" s="65"/>
      <c r="X106" s="60"/>
      <c r="Y106" s="60"/>
      <c r="Z106" s="319"/>
      <c r="AA106" s="60"/>
      <c r="AB106" s="60"/>
      <c r="AC106" s="60"/>
      <c r="AD106" s="60"/>
      <c r="AE106" s="60"/>
      <c r="AF106" s="6"/>
      <c r="AG106" s="139"/>
      <c r="AH106" s="139"/>
      <c r="AI106" s="139"/>
      <c r="AJ106" s="139"/>
    </row>
    <row r="107" spans="1:36" s="209" customFormat="1" ht="11.25" customHeight="1">
      <c r="A107" s="588"/>
      <c r="B107" s="65"/>
      <c r="C107" s="65"/>
      <c r="P107" s="60"/>
      <c r="Q107" s="65"/>
      <c r="R107" s="65"/>
      <c r="S107" s="60"/>
      <c r="T107" s="60"/>
      <c r="U107" s="60"/>
      <c r="V107" s="60"/>
      <c r="W107" s="65"/>
      <c r="X107" s="60"/>
      <c r="Y107" s="60"/>
      <c r="Z107" s="319"/>
      <c r="AA107" s="60"/>
      <c r="AB107" s="60"/>
      <c r="AC107" s="60"/>
      <c r="AD107" s="60"/>
      <c r="AE107" s="60"/>
      <c r="AF107" s="6"/>
      <c r="AG107" s="139"/>
      <c r="AH107" s="139"/>
      <c r="AI107" s="139"/>
      <c r="AJ107" s="139"/>
    </row>
    <row r="108" spans="1:36" s="209" customFormat="1" ht="11.25" customHeight="1">
      <c r="A108" s="588"/>
      <c r="B108" s="65"/>
      <c r="C108" s="65"/>
      <c r="P108" s="60"/>
      <c r="Q108" s="65"/>
      <c r="R108" s="65"/>
      <c r="S108" s="60"/>
      <c r="T108" s="60"/>
      <c r="U108" s="60"/>
      <c r="V108" s="60"/>
      <c r="W108" s="65"/>
      <c r="X108" s="60"/>
      <c r="Y108" s="60"/>
      <c r="Z108" s="319"/>
      <c r="AA108" s="60"/>
      <c r="AB108" s="60"/>
      <c r="AC108" s="60"/>
      <c r="AD108" s="60"/>
      <c r="AE108" s="60"/>
      <c r="AF108" s="6"/>
      <c r="AG108" s="139"/>
      <c r="AH108" s="139"/>
      <c r="AI108" s="139"/>
      <c r="AJ108" s="139"/>
    </row>
    <row r="109" spans="1:36" s="209" customFormat="1" ht="11.25" customHeight="1">
      <c r="A109" s="588"/>
      <c r="B109" s="65"/>
      <c r="C109" s="65"/>
      <c r="P109" s="60"/>
      <c r="Q109" s="65"/>
      <c r="R109" s="65"/>
      <c r="S109" s="60"/>
      <c r="T109" s="60"/>
      <c r="U109" s="60"/>
      <c r="V109" s="60"/>
      <c r="W109" s="65"/>
      <c r="X109" s="60"/>
      <c r="Y109" s="60"/>
      <c r="Z109" s="319"/>
      <c r="AA109" s="60"/>
      <c r="AB109" s="60"/>
      <c r="AC109" s="60"/>
      <c r="AD109" s="60"/>
      <c r="AE109" s="60"/>
      <c r="AF109" s="6"/>
      <c r="AG109" s="139"/>
      <c r="AH109" s="139"/>
      <c r="AI109" s="139"/>
      <c r="AJ109" s="139"/>
    </row>
    <row r="110" spans="1:36" s="209" customFormat="1" ht="11.25" customHeight="1">
      <c r="A110" s="588"/>
      <c r="B110" s="65"/>
      <c r="C110" s="65"/>
      <c r="P110" s="60"/>
      <c r="Q110" s="65"/>
      <c r="R110" s="65"/>
      <c r="S110" s="60"/>
      <c r="T110" s="60"/>
      <c r="U110" s="60"/>
      <c r="V110" s="60"/>
      <c r="W110" s="65"/>
      <c r="X110" s="60"/>
      <c r="Y110" s="60"/>
      <c r="Z110" s="319"/>
      <c r="AA110" s="60"/>
      <c r="AB110" s="60"/>
      <c r="AC110" s="60"/>
      <c r="AD110" s="60"/>
      <c r="AE110" s="60"/>
      <c r="AF110" s="6"/>
      <c r="AG110" s="139"/>
      <c r="AH110" s="139"/>
      <c r="AI110" s="139"/>
      <c r="AJ110" s="139"/>
    </row>
    <row r="111" spans="1:36" s="209" customFormat="1" ht="11.25" customHeight="1">
      <c r="A111" s="588"/>
      <c r="B111" s="65"/>
      <c r="C111" s="65"/>
      <c r="P111" s="60"/>
      <c r="Q111" s="65"/>
      <c r="R111" s="65"/>
      <c r="S111" s="60"/>
      <c r="T111" s="60"/>
      <c r="U111" s="60"/>
      <c r="V111" s="60"/>
      <c r="W111" s="65"/>
      <c r="X111" s="60"/>
      <c r="Y111" s="60"/>
      <c r="Z111" s="319"/>
      <c r="AA111" s="60"/>
      <c r="AB111" s="60"/>
      <c r="AC111" s="60"/>
      <c r="AD111" s="60"/>
      <c r="AE111" s="60"/>
      <c r="AF111" s="6"/>
      <c r="AG111" s="139"/>
      <c r="AH111" s="139"/>
      <c r="AI111" s="139"/>
      <c r="AJ111" s="139"/>
    </row>
    <row r="112" spans="1:36" s="209" customFormat="1" ht="11.25" customHeight="1">
      <c r="A112" s="588"/>
      <c r="B112" s="65"/>
      <c r="C112" s="65"/>
      <c r="P112" s="60"/>
      <c r="Q112" s="65"/>
      <c r="R112" s="65"/>
      <c r="S112" s="60"/>
      <c r="T112" s="60"/>
      <c r="U112" s="60"/>
      <c r="V112" s="60"/>
      <c r="W112" s="65"/>
      <c r="X112" s="60"/>
      <c r="Y112" s="60"/>
      <c r="Z112" s="319"/>
      <c r="AA112" s="60"/>
      <c r="AB112" s="60"/>
      <c r="AC112" s="60"/>
      <c r="AD112" s="60"/>
      <c r="AE112" s="60"/>
      <c r="AF112" s="6"/>
      <c r="AG112" s="139"/>
      <c r="AH112" s="139"/>
      <c r="AI112" s="139"/>
      <c r="AJ112" s="139"/>
    </row>
    <row r="113" spans="1:36" s="209" customFormat="1" ht="11.25" customHeight="1">
      <c r="A113" s="588"/>
      <c r="B113" s="65"/>
      <c r="C113" s="65"/>
      <c r="P113" s="60"/>
      <c r="Q113" s="65"/>
      <c r="R113" s="65"/>
      <c r="S113" s="60"/>
      <c r="T113" s="60"/>
      <c r="U113" s="60"/>
      <c r="V113" s="60"/>
      <c r="W113" s="65"/>
      <c r="X113" s="60"/>
      <c r="Y113" s="60"/>
      <c r="Z113" s="319"/>
      <c r="AA113" s="60"/>
      <c r="AB113" s="60"/>
      <c r="AC113" s="60"/>
      <c r="AD113" s="60"/>
      <c r="AE113" s="60"/>
      <c r="AF113" s="6"/>
      <c r="AG113" s="139"/>
      <c r="AH113" s="139"/>
      <c r="AI113" s="139"/>
      <c r="AJ113" s="139"/>
    </row>
    <row r="114" spans="1:36" s="209" customFormat="1" ht="11.25" customHeight="1">
      <c r="A114" s="588"/>
      <c r="B114" s="65"/>
      <c r="C114" s="65"/>
      <c r="P114" s="60"/>
      <c r="Q114" s="65"/>
      <c r="R114" s="65"/>
      <c r="S114" s="60"/>
      <c r="T114" s="60"/>
      <c r="U114" s="60"/>
      <c r="V114" s="60"/>
      <c r="W114" s="65"/>
      <c r="X114" s="60"/>
      <c r="Y114" s="60"/>
      <c r="Z114" s="319"/>
      <c r="AA114" s="60"/>
      <c r="AB114" s="60"/>
      <c r="AC114" s="60"/>
      <c r="AD114" s="60"/>
      <c r="AE114" s="60"/>
      <c r="AF114" s="6"/>
      <c r="AG114" s="139"/>
      <c r="AH114" s="139"/>
      <c r="AI114" s="139"/>
      <c r="AJ114" s="139"/>
    </row>
    <row r="115" spans="1:36" s="209" customFormat="1" ht="11.25" customHeight="1">
      <c r="A115" s="588"/>
      <c r="B115" s="65"/>
      <c r="C115" s="65"/>
      <c r="P115" s="60"/>
      <c r="Q115" s="65"/>
      <c r="R115" s="65"/>
      <c r="S115" s="60"/>
      <c r="T115" s="60"/>
      <c r="U115" s="60"/>
      <c r="V115" s="60"/>
      <c r="W115" s="65"/>
      <c r="X115" s="60"/>
      <c r="Y115" s="60"/>
      <c r="Z115" s="319"/>
      <c r="AA115" s="60"/>
      <c r="AB115" s="60"/>
      <c r="AC115" s="60"/>
      <c r="AD115" s="60"/>
      <c r="AE115" s="60"/>
      <c r="AF115" s="6"/>
      <c r="AG115" s="139"/>
      <c r="AH115" s="139"/>
      <c r="AI115" s="139"/>
      <c r="AJ115" s="139"/>
    </row>
    <row r="116" spans="1:36" s="209" customFormat="1" ht="11.25" customHeight="1">
      <c r="A116" s="588"/>
      <c r="B116" s="65"/>
      <c r="C116" s="65"/>
      <c r="P116" s="60"/>
      <c r="Q116" s="65"/>
      <c r="R116" s="65"/>
      <c r="S116" s="60"/>
      <c r="T116" s="60"/>
      <c r="U116" s="60"/>
      <c r="V116" s="60"/>
      <c r="W116" s="65"/>
      <c r="X116" s="60"/>
      <c r="Y116" s="60"/>
      <c r="Z116" s="319"/>
      <c r="AA116" s="60"/>
      <c r="AB116" s="60"/>
      <c r="AC116" s="60"/>
      <c r="AD116" s="60"/>
      <c r="AE116" s="60"/>
      <c r="AF116" s="6"/>
      <c r="AG116" s="139"/>
      <c r="AH116" s="139"/>
      <c r="AI116" s="139"/>
      <c r="AJ116" s="139"/>
    </row>
    <row r="117" spans="1:36" s="209" customFormat="1" ht="11.25" customHeight="1">
      <c r="A117" s="588"/>
      <c r="B117" s="65"/>
      <c r="C117" s="65"/>
      <c r="P117" s="60"/>
      <c r="Q117" s="65"/>
      <c r="R117" s="65"/>
      <c r="S117" s="60"/>
      <c r="T117" s="60"/>
      <c r="U117" s="60"/>
      <c r="V117" s="60"/>
      <c r="W117" s="65"/>
      <c r="X117" s="60"/>
      <c r="Y117" s="60"/>
      <c r="Z117" s="319"/>
      <c r="AA117" s="60"/>
      <c r="AB117" s="60"/>
      <c r="AC117" s="60"/>
      <c r="AD117" s="60"/>
      <c r="AE117" s="60"/>
      <c r="AF117" s="6"/>
      <c r="AG117" s="139"/>
      <c r="AH117" s="139"/>
      <c r="AI117" s="139"/>
      <c r="AJ117" s="139"/>
    </row>
    <row r="118" spans="1:36" s="209" customFormat="1" ht="11.25" customHeight="1">
      <c r="A118" s="588"/>
      <c r="B118" s="65"/>
      <c r="C118" s="65"/>
      <c r="P118" s="60"/>
      <c r="Q118" s="65"/>
      <c r="R118" s="65"/>
      <c r="S118" s="60"/>
      <c r="T118" s="60"/>
      <c r="U118" s="60"/>
      <c r="V118" s="60"/>
      <c r="W118" s="65"/>
      <c r="X118" s="60"/>
      <c r="Y118" s="60"/>
      <c r="Z118" s="319"/>
      <c r="AA118" s="60"/>
      <c r="AB118" s="60"/>
      <c r="AC118" s="60"/>
      <c r="AD118" s="60"/>
      <c r="AE118" s="60"/>
      <c r="AF118" s="6"/>
      <c r="AG118" s="139"/>
      <c r="AH118" s="139"/>
      <c r="AI118" s="139"/>
      <c r="AJ118" s="139"/>
    </row>
    <row r="119" spans="1:36" s="209" customFormat="1" ht="11.25" customHeight="1">
      <c r="A119" s="588"/>
      <c r="B119" s="65"/>
      <c r="C119" s="65"/>
      <c r="P119" s="60"/>
      <c r="Q119" s="65"/>
      <c r="R119" s="65"/>
      <c r="S119" s="60"/>
      <c r="T119" s="60"/>
      <c r="U119" s="60"/>
      <c r="V119" s="60"/>
      <c r="W119" s="65"/>
      <c r="X119" s="60"/>
      <c r="Y119" s="60"/>
      <c r="Z119" s="319"/>
      <c r="AA119" s="60"/>
      <c r="AB119" s="60"/>
      <c r="AC119" s="60"/>
      <c r="AD119" s="60"/>
      <c r="AE119" s="60"/>
      <c r="AF119" s="6"/>
      <c r="AG119" s="139"/>
      <c r="AH119" s="139"/>
      <c r="AI119" s="139"/>
      <c r="AJ119" s="139"/>
    </row>
    <row r="120" spans="1:36" s="209" customFormat="1" ht="11.25" customHeight="1">
      <c r="A120" s="588"/>
      <c r="B120" s="65"/>
      <c r="C120" s="65"/>
      <c r="P120" s="60"/>
      <c r="Q120" s="65"/>
      <c r="R120" s="65"/>
      <c r="S120" s="60"/>
      <c r="T120" s="60"/>
      <c r="U120" s="60"/>
      <c r="V120" s="60"/>
      <c r="W120" s="65"/>
      <c r="X120" s="60"/>
      <c r="Y120" s="60"/>
      <c r="Z120" s="319"/>
      <c r="AA120" s="60"/>
      <c r="AB120" s="60"/>
      <c r="AC120" s="60"/>
      <c r="AD120" s="60"/>
      <c r="AE120" s="60"/>
      <c r="AF120" s="6"/>
      <c r="AG120" s="139"/>
      <c r="AH120" s="139"/>
      <c r="AI120" s="139"/>
      <c r="AJ120" s="139"/>
    </row>
    <row r="121" spans="1:36" s="209" customFormat="1" ht="11.25" customHeight="1">
      <c r="A121" s="588"/>
      <c r="B121" s="65"/>
      <c r="C121" s="65"/>
      <c r="P121" s="60"/>
      <c r="Q121" s="65"/>
      <c r="R121" s="65"/>
      <c r="S121" s="60"/>
      <c r="T121" s="60"/>
      <c r="U121" s="60"/>
      <c r="V121" s="60"/>
      <c r="W121" s="65"/>
      <c r="X121" s="60"/>
      <c r="Y121" s="60"/>
      <c r="Z121" s="319"/>
      <c r="AA121" s="60"/>
      <c r="AB121" s="60"/>
      <c r="AC121" s="60"/>
      <c r="AD121" s="60"/>
      <c r="AE121" s="60"/>
      <c r="AF121" s="6"/>
      <c r="AG121" s="139"/>
      <c r="AH121" s="139"/>
      <c r="AI121" s="139"/>
      <c r="AJ121" s="139"/>
    </row>
    <row r="122" spans="1:36" s="209" customFormat="1" ht="11.25" customHeight="1">
      <c r="A122" s="588"/>
      <c r="B122" s="65"/>
      <c r="C122" s="65"/>
      <c r="P122" s="60"/>
      <c r="Q122" s="65"/>
      <c r="R122" s="65"/>
      <c r="S122" s="60"/>
      <c r="T122" s="60"/>
      <c r="U122" s="60"/>
      <c r="V122" s="60"/>
      <c r="W122" s="65"/>
      <c r="X122" s="60"/>
      <c r="Y122" s="60"/>
      <c r="Z122" s="319"/>
      <c r="AA122" s="60"/>
      <c r="AB122" s="60"/>
      <c r="AC122" s="60"/>
      <c r="AD122" s="60"/>
      <c r="AE122" s="60"/>
      <c r="AF122" s="6"/>
      <c r="AG122" s="139"/>
      <c r="AH122" s="139"/>
      <c r="AI122" s="139"/>
      <c r="AJ122" s="139"/>
    </row>
    <row r="123" spans="1:36" s="209" customFormat="1" ht="11.25" customHeight="1">
      <c r="A123" s="588"/>
      <c r="B123" s="65"/>
      <c r="C123" s="65"/>
      <c r="P123" s="60"/>
      <c r="Q123" s="65"/>
      <c r="R123" s="65"/>
      <c r="S123" s="60"/>
      <c r="T123" s="60"/>
      <c r="U123" s="60"/>
      <c r="V123" s="60"/>
      <c r="W123" s="65"/>
      <c r="X123" s="60"/>
      <c r="Y123" s="60"/>
      <c r="Z123" s="319"/>
      <c r="AA123" s="60"/>
      <c r="AB123" s="60"/>
      <c r="AC123" s="60"/>
      <c r="AD123" s="60"/>
      <c r="AE123" s="60"/>
      <c r="AF123" s="6"/>
      <c r="AG123" s="139"/>
      <c r="AH123" s="139"/>
      <c r="AI123" s="139"/>
      <c r="AJ123" s="139"/>
    </row>
    <row r="124" spans="1:36" s="209" customFormat="1" ht="11.25" customHeight="1">
      <c r="A124" s="588"/>
      <c r="B124" s="65"/>
      <c r="C124" s="65"/>
      <c r="P124" s="60"/>
      <c r="Q124" s="65"/>
      <c r="R124" s="65"/>
      <c r="S124" s="60"/>
      <c r="T124" s="60"/>
      <c r="U124" s="60"/>
      <c r="V124" s="60"/>
      <c r="W124" s="65"/>
      <c r="X124" s="60"/>
      <c r="Y124" s="60"/>
      <c r="Z124" s="319"/>
      <c r="AA124" s="60"/>
      <c r="AB124" s="60"/>
      <c r="AC124" s="60"/>
      <c r="AD124" s="60"/>
      <c r="AE124" s="60"/>
      <c r="AF124" s="6"/>
      <c r="AG124" s="139"/>
      <c r="AH124" s="139"/>
      <c r="AI124" s="139"/>
      <c r="AJ124" s="139"/>
    </row>
    <row r="125" spans="1:36" s="209" customFormat="1" ht="11.25" customHeight="1">
      <c r="A125" s="588"/>
      <c r="B125" s="65"/>
      <c r="C125" s="65"/>
      <c r="P125" s="60"/>
      <c r="Q125" s="65"/>
      <c r="R125" s="65"/>
      <c r="S125" s="60"/>
      <c r="T125" s="60"/>
      <c r="U125" s="60"/>
      <c r="V125" s="60"/>
      <c r="W125" s="65"/>
      <c r="X125" s="60"/>
      <c r="Y125" s="60"/>
      <c r="Z125" s="319"/>
      <c r="AA125" s="60"/>
      <c r="AB125" s="60"/>
      <c r="AC125" s="60"/>
      <c r="AD125" s="60"/>
      <c r="AE125" s="60"/>
      <c r="AF125" s="6"/>
      <c r="AG125" s="139"/>
      <c r="AH125" s="139"/>
      <c r="AI125" s="139"/>
      <c r="AJ125" s="139"/>
    </row>
    <row r="126" spans="1:36" s="209" customFormat="1" ht="11.25" customHeight="1">
      <c r="A126" s="588"/>
      <c r="B126" s="65"/>
      <c r="C126" s="65"/>
      <c r="P126" s="60"/>
      <c r="Q126" s="65"/>
      <c r="R126" s="65"/>
      <c r="S126" s="60"/>
      <c r="T126" s="60"/>
      <c r="U126" s="60"/>
      <c r="V126" s="60"/>
      <c r="W126" s="65"/>
      <c r="X126" s="60"/>
      <c r="Y126" s="60"/>
      <c r="Z126" s="319"/>
      <c r="AA126" s="60"/>
      <c r="AB126" s="60"/>
      <c r="AC126" s="60"/>
      <c r="AD126" s="60"/>
      <c r="AE126" s="60"/>
      <c r="AF126" s="6"/>
      <c r="AG126" s="139"/>
      <c r="AH126" s="139"/>
      <c r="AI126" s="139"/>
      <c r="AJ126" s="139"/>
    </row>
    <row r="127" spans="1:36" s="209" customFormat="1" ht="11.25" customHeight="1">
      <c r="A127" s="588"/>
      <c r="B127" s="65"/>
      <c r="C127" s="65"/>
      <c r="P127" s="60"/>
      <c r="Q127" s="65"/>
      <c r="R127" s="65"/>
      <c r="S127" s="60"/>
      <c r="T127" s="60"/>
      <c r="U127" s="60"/>
      <c r="V127" s="60"/>
      <c r="W127" s="65"/>
      <c r="X127" s="60"/>
      <c r="Y127" s="60"/>
      <c r="Z127" s="319"/>
      <c r="AA127" s="60"/>
      <c r="AB127" s="60"/>
      <c r="AC127" s="60"/>
      <c r="AD127" s="60"/>
      <c r="AE127" s="60"/>
      <c r="AF127" s="6"/>
      <c r="AG127" s="139"/>
      <c r="AH127" s="139"/>
      <c r="AI127" s="139"/>
      <c r="AJ127" s="139"/>
    </row>
    <row r="128" spans="1:36" s="209" customFormat="1" ht="11.25" customHeight="1">
      <c r="A128" s="588"/>
      <c r="B128" s="65"/>
      <c r="C128" s="65"/>
      <c r="P128" s="60"/>
      <c r="Q128" s="65"/>
      <c r="R128" s="65"/>
      <c r="S128" s="60"/>
      <c r="T128" s="60"/>
      <c r="U128" s="60"/>
      <c r="V128" s="60"/>
      <c r="W128" s="65"/>
      <c r="X128" s="60"/>
      <c r="Y128" s="60"/>
      <c r="Z128" s="319"/>
      <c r="AA128" s="60"/>
      <c r="AB128" s="60"/>
      <c r="AC128" s="60"/>
      <c r="AD128" s="60"/>
      <c r="AE128" s="60"/>
      <c r="AF128" s="6"/>
      <c r="AG128" s="139"/>
      <c r="AH128" s="139"/>
      <c r="AI128" s="139"/>
      <c r="AJ128" s="139"/>
    </row>
    <row r="129" spans="1:36" s="209" customFormat="1" ht="11.25" customHeight="1">
      <c r="A129" s="588"/>
      <c r="B129" s="65"/>
      <c r="C129" s="65"/>
      <c r="P129" s="60"/>
      <c r="Q129" s="65"/>
      <c r="R129" s="65"/>
      <c r="S129" s="60"/>
      <c r="T129" s="60"/>
      <c r="U129" s="60"/>
      <c r="V129" s="60"/>
      <c r="W129" s="65"/>
      <c r="X129" s="60"/>
      <c r="Y129" s="60"/>
      <c r="Z129" s="319"/>
      <c r="AA129" s="60"/>
      <c r="AB129" s="60"/>
      <c r="AC129" s="60"/>
      <c r="AD129" s="60"/>
      <c r="AE129" s="60"/>
      <c r="AF129" s="6"/>
      <c r="AG129" s="139"/>
      <c r="AH129" s="139"/>
      <c r="AI129" s="139"/>
      <c r="AJ129" s="139"/>
    </row>
    <row r="130" spans="1:36" s="209" customFormat="1" ht="11.25" customHeight="1">
      <c r="A130" s="588"/>
      <c r="B130" s="65"/>
      <c r="C130" s="65"/>
      <c r="P130" s="60"/>
      <c r="Q130" s="65"/>
      <c r="R130" s="65"/>
      <c r="S130" s="60"/>
      <c r="T130" s="60"/>
      <c r="U130" s="60"/>
      <c r="V130" s="60"/>
      <c r="W130" s="65"/>
      <c r="X130" s="60"/>
      <c r="Y130" s="60"/>
      <c r="Z130" s="319"/>
      <c r="AA130" s="60"/>
      <c r="AB130" s="60"/>
      <c r="AC130" s="60"/>
      <c r="AD130" s="60"/>
      <c r="AE130" s="60"/>
      <c r="AF130" s="6"/>
      <c r="AG130" s="139"/>
      <c r="AH130" s="139"/>
      <c r="AI130" s="139"/>
      <c r="AJ130" s="139"/>
    </row>
    <row r="131" spans="1:36" s="209" customFormat="1" ht="11.25" customHeight="1">
      <c r="A131" s="588"/>
      <c r="B131" s="65"/>
      <c r="C131" s="65"/>
      <c r="P131" s="60"/>
      <c r="Q131" s="65"/>
      <c r="R131" s="65"/>
      <c r="S131" s="60"/>
      <c r="T131" s="60"/>
      <c r="U131" s="60"/>
      <c r="V131" s="60"/>
      <c r="W131" s="65"/>
      <c r="X131" s="60"/>
      <c r="Y131" s="60"/>
      <c r="Z131" s="319"/>
      <c r="AA131" s="60"/>
      <c r="AB131" s="60"/>
      <c r="AC131" s="60"/>
      <c r="AD131" s="60"/>
      <c r="AE131" s="60"/>
      <c r="AF131" s="6"/>
      <c r="AG131" s="139"/>
      <c r="AH131" s="139"/>
      <c r="AI131" s="139"/>
      <c r="AJ131" s="139"/>
    </row>
    <row r="132" spans="1:36" s="209" customFormat="1" ht="11.25" customHeight="1">
      <c r="A132" s="588"/>
      <c r="B132" s="65"/>
      <c r="C132" s="65"/>
      <c r="P132" s="60"/>
      <c r="Q132" s="65"/>
      <c r="R132" s="65"/>
      <c r="S132" s="60"/>
      <c r="T132" s="60"/>
      <c r="U132" s="60"/>
      <c r="V132" s="60"/>
      <c r="W132" s="65"/>
      <c r="X132" s="60"/>
      <c r="Y132" s="60"/>
      <c r="Z132" s="319"/>
      <c r="AA132" s="60"/>
      <c r="AB132" s="60"/>
      <c r="AC132" s="60"/>
      <c r="AD132" s="60"/>
      <c r="AE132" s="60"/>
      <c r="AF132" s="6"/>
      <c r="AG132" s="139"/>
      <c r="AH132" s="139"/>
      <c r="AI132" s="139"/>
      <c r="AJ132" s="139"/>
    </row>
    <row r="133" spans="1:36" s="209" customFormat="1" ht="11.25" customHeight="1">
      <c r="A133" s="588"/>
      <c r="B133" s="65"/>
      <c r="C133" s="65"/>
      <c r="P133" s="60"/>
      <c r="Q133" s="65"/>
      <c r="R133" s="65"/>
      <c r="S133" s="60"/>
      <c r="T133" s="60"/>
      <c r="U133" s="60"/>
      <c r="V133" s="60"/>
      <c r="W133" s="65"/>
      <c r="X133" s="60"/>
      <c r="Y133" s="60"/>
      <c r="Z133" s="319"/>
      <c r="AA133" s="60"/>
      <c r="AB133" s="60"/>
      <c r="AC133" s="60"/>
      <c r="AD133" s="60"/>
      <c r="AE133" s="60"/>
      <c r="AF133" s="6"/>
      <c r="AG133" s="139"/>
      <c r="AH133" s="139"/>
      <c r="AI133" s="139"/>
      <c r="AJ133" s="139"/>
    </row>
    <row r="134" spans="1:36" s="209" customFormat="1" ht="11.25" customHeight="1">
      <c r="A134" s="588"/>
      <c r="B134" s="65"/>
      <c r="C134" s="65"/>
      <c r="P134" s="60"/>
      <c r="Q134" s="65"/>
      <c r="R134" s="65"/>
      <c r="S134" s="60"/>
      <c r="T134" s="60"/>
      <c r="U134" s="60"/>
      <c r="V134" s="60"/>
      <c r="W134" s="65"/>
      <c r="X134" s="60"/>
      <c r="Y134" s="60"/>
      <c r="Z134" s="319"/>
      <c r="AA134" s="60"/>
      <c r="AB134" s="60"/>
      <c r="AC134" s="60"/>
      <c r="AD134" s="60"/>
      <c r="AE134" s="60"/>
      <c r="AF134" s="6"/>
      <c r="AG134" s="139"/>
      <c r="AH134" s="139"/>
      <c r="AI134" s="139"/>
      <c r="AJ134" s="139"/>
    </row>
    <row r="135" spans="1:36" s="209" customFormat="1" ht="11.25" customHeight="1">
      <c r="A135" s="588"/>
      <c r="B135" s="65"/>
      <c r="C135" s="65"/>
      <c r="P135" s="60"/>
      <c r="Q135" s="65"/>
      <c r="R135" s="65"/>
      <c r="S135" s="60"/>
      <c r="T135" s="60"/>
      <c r="U135" s="60"/>
      <c r="V135" s="60"/>
      <c r="W135" s="65"/>
      <c r="X135" s="60"/>
      <c r="Y135" s="60"/>
      <c r="Z135" s="319"/>
      <c r="AA135" s="60"/>
      <c r="AB135" s="60"/>
      <c r="AC135" s="60"/>
      <c r="AD135" s="60"/>
      <c r="AE135" s="60"/>
      <c r="AF135" s="6"/>
      <c r="AG135" s="139"/>
      <c r="AH135" s="139"/>
      <c r="AI135" s="139"/>
      <c r="AJ135" s="139"/>
    </row>
    <row r="136" spans="1:36" s="209" customFormat="1" ht="11.25" customHeight="1">
      <c r="A136" s="588"/>
      <c r="B136" s="65"/>
      <c r="C136" s="65"/>
      <c r="P136" s="60"/>
      <c r="Q136" s="65"/>
      <c r="R136" s="65"/>
      <c r="S136" s="60"/>
      <c r="T136" s="60"/>
      <c r="U136" s="60"/>
      <c r="V136" s="60"/>
      <c r="W136" s="65"/>
      <c r="X136" s="60"/>
      <c r="Y136" s="60"/>
      <c r="Z136" s="319"/>
      <c r="AA136" s="60"/>
      <c r="AB136" s="60"/>
      <c r="AC136" s="60"/>
      <c r="AD136" s="60"/>
      <c r="AE136" s="60"/>
      <c r="AF136" s="6"/>
      <c r="AG136" s="139"/>
      <c r="AH136" s="139"/>
      <c r="AI136" s="139"/>
      <c r="AJ136" s="139"/>
    </row>
    <row r="137" spans="1:36" s="209" customFormat="1" ht="11.25" customHeight="1">
      <c r="A137" s="588"/>
      <c r="B137" s="65"/>
      <c r="C137" s="65"/>
      <c r="P137" s="60"/>
      <c r="Q137" s="65"/>
      <c r="R137" s="65"/>
      <c r="S137" s="60"/>
      <c r="T137" s="60"/>
      <c r="U137" s="60"/>
      <c r="V137" s="60"/>
      <c r="W137" s="65"/>
      <c r="X137" s="60"/>
      <c r="Y137" s="60"/>
      <c r="Z137" s="319"/>
      <c r="AA137" s="60"/>
      <c r="AB137" s="60"/>
      <c r="AC137" s="60"/>
      <c r="AD137" s="60"/>
      <c r="AE137" s="60"/>
      <c r="AF137" s="6"/>
      <c r="AG137" s="139"/>
      <c r="AH137" s="139"/>
      <c r="AI137" s="139"/>
      <c r="AJ137" s="139"/>
    </row>
    <row r="138" spans="1:36" s="209" customFormat="1" ht="11.25" customHeight="1">
      <c r="A138" s="588"/>
      <c r="B138" s="65"/>
      <c r="C138" s="65"/>
      <c r="P138" s="60"/>
      <c r="Q138" s="65"/>
      <c r="R138" s="65"/>
      <c r="S138" s="60"/>
      <c r="T138" s="60"/>
      <c r="U138" s="60"/>
      <c r="V138" s="60"/>
      <c r="W138" s="65"/>
      <c r="X138" s="60"/>
      <c r="Y138" s="60"/>
      <c r="Z138" s="319"/>
      <c r="AA138" s="60"/>
      <c r="AB138" s="60"/>
      <c r="AC138" s="60"/>
      <c r="AD138" s="60"/>
      <c r="AE138" s="60"/>
      <c r="AF138" s="6"/>
      <c r="AG138" s="139"/>
      <c r="AH138" s="139"/>
      <c r="AI138" s="139"/>
      <c r="AJ138" s="139"/>
    </row>
    <row r="139" spans="1:36" s="209" customFormat="1" ht="11.25" customHeight="1">
      <c r="A139" s="588"/>
      <c r="B139" s="65"/>
      <c r="C139" s="65"/>
      <c r="P139" s="60"/>
      <c r="Q139" s="65"/>
      <c r="R139" s="65"/>
      <c r="S139" s="60"/>
      <c r="T139" s="60"/>
      <c r="U139" s="60"/>
      <c r="V139" s="60"/>
      <c r="W139" s="65"/>
      <c r="X139" s="60"/>
      <c r="Y139" s="60"/>
      <c r="Z139" s="319"/>
      <c r="AA139" s="60"/>
      <c r="AB139" s="60"/>
      <c r="AC139" s="60"/>
      <c r="AD139" s="60"/>
      <c r="AE139" s="60"/>
      <c r="AF139" s="6"/>
      <c r="AG139" s="139"/>
      <c r="AH139" s="139"/>
      <c r="AI139" s="139"/>
      <c r="AJ139" s="139"/>
    </row>
    <row r="140" spans="1:36" s="209" customFormat="1" ht="11.25" customHeight="1">
      <c r="A140" s="588"/>
      <c r="B140" s="65"/>
      <c r="C140" s="65"/>
      <c r="P140" s="60"/>
      <c r="Q140" s="65"/>
      <c r="R140" s="65"/>
      <c r="S140" s="60"/>
      <c r="T140" s="60"/>
      <c r="U140" s="60"/>
      <c r="V140" s="60"/>
      <c r="W140" s="65"/>
      <c r="X140" s="60"/>
      <c r="Y140" s="60"/>
      <c r="Z140" s="319"/>
      <c r="AA140" s="60"/>
      <c r="AB140" s="60"/>
      <c r="AC140" s="60"/>
      <c r="AD140" s="60"/>
      <c r="AE140" s="60"/>
      <c r="AF140" s="6"/>
      <c r="AG140" s="139"/>
      <c r="AH140" s="139"/>
      <c r="AI140" s="139"/>
      <c r="AJ140" s="139"/>
    </row>
    <row r="141" spans="1:36" s="209" customFormat="1" ht="11.25" customHeight="1">
      <c r="A141" s="588"/>
      <c r="B141" s="65"/>
      <c r="C141" s="65"/>
      <c r="P141" s="60"/>
      <c r="Q141" s="65"/>
      <c r="R141" s="65"/>
      <c r="S141" s="60"/>
      <c r="T141" s="60"/>
      <c r="U141" s="60"/>
      <c r="V141" s="60"/>
      <c r="W141" s="65"/>
      <c r="X141" s="60"/>
      <c r="Y141" s="60"/>
      <c r="Z141" s="319"/>
      <c r="AA141" s="60"/>
      <c r="AB141" s="60"/>
      <c r="AC141" s="60"/>
      <c r="AD141" s="60"/>
      <c r="AE141" s="60"/>
      <c r="AF141" s="6"/>
      <c r="AG141" s="139"/>
      <c r="AH141" s="139"/>
      <c r="AI141" s="139"/>
      <c r="AJ141" s="139"/>
    </row>
    <row r="142" spans="1:36" s="209" customFormat="1" ht="11.25" customHeight="1">
      <c r="A142" s="588"/>
      <c r="B142" s="65"/>
      <c r="C142" s="65"/>
      <c r="P142" s="60"/>
      <c r="Q142" s="65"/>
      <c r="R142" s="65"/>
      <c r="S142" s="60"/>
      <c r="T142" s="60"/>
      <c r="U142" s="60"/>
      <c r="V142" s="60"/>
      <c r="W142" s="65"/>
      <c r="X142" s="60"/>
      <c r="Y142" s="60"/>
      <c r="Z142" s="319"/>
      <c r="AA142" s="60"/>
      <c r="AB142" s="60"/>
      <c r="AC142" s="60"/>
      <c r="AD142" s="60"/>
      <c r="AE142" s="60"/>
      <c r="AF142" s="6"/>
      <c r="AG142" s="139"/>
      <c r="AH142" s="139"/>
      <c r="AI142" s="139"/>
      <c r="AJ142" s="139"/>
    </row>
    <row r="143" spans="1:36" s="209" customFormat="1" ht="11.25" customHeight="1">
      <c r="A143" s="588"/>
      <c r="B143" s="65"/>
      <c r="C143" s="65"/>
      <c r="P143" s="60"/>
      <c r="Q143" s="65"/>
      <c r="R143" s="65"/>
      <c r="S143" s="60"/>
      <c r="T143" s="60"/>
      <c r="U143" s="60"/>
      <c r="V143" s="60"/>
      <c r="W143" s="65"/>
      <c r="X143" s="60"/>
      <c r="Y143" s="60"/>
      <c r="Z143" s="319"/>
      <c r="AA143" s="60"/>
      <c r="AB143" s="60"/>
      <c r="AC143" s="60"/>
      <c r="AD143" s="60"/>
      <c r="AE143" s="60"/>
      <c r="AF143" s="6"/>
      <c r="AG143" s="139"/>
      <c r="AH143" s="139"/>
      <c r="AI143" s="139"/>
      <c r="AJ143" s="139"/>
    </row>
    <row r="144" spans="1:36" s="209" customFormat="1" ht="11.25" customHeight="1">
      <c r="A144" s="588"/>
      <c r="B144" s="65"/>
      <c r="C144" s="65"/>
      <c r="P144" s="60"/>
      <c r="Q144" s="65"/>
      <c r="R144" s="65"/>
      <c r="S144" s="60"/>
      <c r="T144" s="60"/>
      <c r="U144" s="60"/>
      <c r="V144" s="60"/>
      <c r="W144" s="65"/>
      <c r="X144" s="60"/>
      <c r="Y144" s="60"/>
      <c r="Z144" s="319"/>
      <c r="AA144" s="60"/>
      <c r="AB144" s="60"/>
      <c r="AC144" s="60"/>
      <c r="AD144" s="60"/>
      <c r="AE144" s="60"/>
      <c r="AF144" s="6"/>
      <c r="AG144" s="139"/>
      <c r="AH144" s="139"/>
      <c r="AI144" s="139"/>
      <c r="AJ144" s="139"/>
    </row>
    <row r="145" spans="1:36" s="209" customFormat="1" ht="11.25" customHeight="1">
      <c r="A145" s="588"/>
      <c r="B145" s="65"/>
      <c r="C145" s="65"/>
      <c r="P145" s="60"/>
      <c r="Q145" s="65"/>
      <c r="R145" s="65"/>
      <c r="S145" s="60"/>
      <c r="T145" s="60"/>
      <c r="U145" s="60"/>
      <c r="V145" s="60"/>
      <c r="W145" s="65"/>
      <c r="X145" s="60"/>
      <c r="Y145" s="60"/>
      <c r="Z145" s="319"/>
      <c r="AA145" s="60"/>
      <c r="AB145" s="60"/>
      <c r="AC145" s="60"/>
      <c r="AD145" s="60"/>
      <c r="AE145" s="60"/>
      <c r="AF145" s="6"/>
      <c r="AG145" s="139"/>
      <c r="AH145" s="139"/>
      <c r="AI145" s="139"/>
      <c r="AJ145" s="139"/>
    </row>
    <row r="146" spans="1:36" s="209" customFormat="1" ht="11.25" customHeight="1">
      <c r="A146" s="588"/>
      <c r="B146" s="65"/>
      <c r="C146" s="65"/>
      <c r="P146" s="60"/>
      <c r="Q146" s="65"/>
      <c r="R146" s="65"/>
      <c r="S146" s="60"/>
      <c r="T146" s="60"/>
      <c r="U146" s="60"/>
      <c r="V146" s="60"/>
      <c r="W146" s="65"/>
      <c r="X146" s="60"/>
      <c r="Y146" s="60"/>
      <c r="Z146" s="319"/>
      <c r="AA146" s="60"/>
      <c r="AB146" s="60"/>
      <c r="AC146" s="60"/>
      <c r="AD146" s="60"/>
      <c r="AE146" s="60"/>
      <c r="AF146" s="6"/>
      <c r="AG146" s="139"/>
      <c r="AH146" s="139"/>
      <c r="AI146" s="139"/>
      <c r="AJ146" s="139"/>
    </row>
    <row r="147" spans="1:36" s="209" customFormat="1" ht="11.25" customHeight="1">
      <c r="A147" s="588"/>
      <c r="B147" s="65"/>
      <c r="C147" s="65"/>
      <c r="P147" s="60"/>
      <c r="Q147" s="65"/>
      <c r="R147" s="65"/>
      <c r="S147" s="60"/>
      <c r="T147" s="60"/>
      <c r="U147" s="60"/>
      <c r="V147" s="60"/>
      <c r="W147" s="65"/>
      <c r="X147" s="60"/>
      <c r="Y147" s="60"/>
      <c r="Z147" s="319"/>
      <c r="AA147" s="60"/>
      <c r="AB147" s="60"/>
      <c r="AC147" s="60"/>
      <c r="AD147" s="60"/>
      <c r="AE147" s="60"/>
      <c r="AF147" s="6"/>
      <c r="AG147" s="139"/>
      <c r="AH147" s="139"/>
      <c r="AI147" s="139"/>
      <c r="AJ147" s="139"/>
    </row>
    <row r="148" spans="1:36" s="209" customFormat="1" ht="11.25" customHeight="1">
      <c r="A148" s="588"/>
      <c r="B148" s="65"/>
      <c r="C148" s="65"/>
      <c r="P148" s="60"/>
      <c r="Q148" s="65"/>
      <c r="R148" s="65"/>
      <c r="S148" s="60"/>
      <c r="T148" s="60"/>
      <c r="U148" s="60"/>
      <c r="V148" s="60"/>
      <c r="W148" s="65"/>
      <c r="X148" s="60"/>
      <c r="Y148" s="60"/>
      <c r="Z148" s="319"/>
      <c r="AA148" s="60"/>
      <c r="AB148" s="60"/>
      <c r="AC148" s="60"/>
      <c r="AD148" s="60"/>
      <c r="AE148" s="60"/>
      <c r="AF148" s="6"/>
      <c r="AG148" s="139"/>
      <c r="AH148" s="139"/>
      <c r="AI148" s="139"/>
      <c r="AJ148" s="139"/>
    </row>
    <row r="149" spans="1:36" s="209" customFormat="1" ht="11.25" customHeight="1">
      <c r="A149" s="588"/>
      <c r="B149" s="65"/>
      <c r="C149" s="65"/>
      <c r="P149" s="60"/>
      <c r="Q149" s="65"/>
      <c r="R149" s="65"/>
      <c r="S149" s="60"/>
      <c r="T149" s="60"/>
      <c r="U149" s="60"/>
      <c r="V149" s="60"/>
      <c r="W149" s="65"/>
      <c r="X149" s="60"/>
      <c r="Y149" s="60"/>
      <c r="Z149" s="319"/>
      <c r="AA149" s="60"/>
      <c r="AB149" s="60"/>
      <c r="AC149" s="60"/>
      <c r="AD149" s="60"/>
      <c r="AE149" s="60"/>
      <c r="AF149" s="6"/>
      <c r="AG149" s="139"/>
      <c r="AH149" s="139"/>
      <c r="AI149" s="139"/>
      <c r="AJ149" s="139"/>
    </row>
    <row r="150" spans="1:36" s="209" customFormat="1" ht="11.25" customHeight="1">
      <c r="A150" s="588"/>
      <c r="B150" s="65"/>
      <c r="C150" s="65"/>
      <c r="P150" s="60"/>
      <c r="Q150" s="65"/>
      <c r="R150" s="65"/>
      <c r="S150" s="60"/>
      <c r="T150" s="60"/>
      <c r="U150" s="60"/>
      <c r="V150" s="60"/>
      <c r="W150" s="65"/>
      <c r="X150" s="60"/>
      <c r="Y150" s="60"/>
      <c r="Z150" s="319"/>
      <c r="AA150" s="60"/>
      <c r="AB150" s="60"/>
      <c r="AC150" s="60"/>
      <c r="AD150" s="60"/>
      <c r="AE150" s="60"/>
      <c r="AF150" s="6"/>
      <c r="AG150" s="139"/>
      <c r="AH150" s="139"/>
      <c r="AI150" s="139"/>
      <c r="AJ150" s="139"/>
    </row>
    <row r="151" spans="1:36" s="209" customFormat="1" ht="11.25" customHeight="1">
      <c r="A151" s="588"/>
      <c r="B151" s="65"/>
      <c r="C151" s="65"/>
      <c r="P151" s="60"/>
      <c r="Q151" s="65"/>
      <c r="R151" s="65"/>
      <c r="S151" s="60"/>
      <c r="T151" s="60"/>
      <c r="U151" s="60"/>
      <c r="V151" s="60"/>
      <c r="W151" s="65"/>
      <c r="X151" s="60"/>
      <c r="Y151" s="60"/>
      <c r="Z151" s="319"/>
      <c r="AA151" s="60"/>
      <c r="AB151" s="60"/>
      <c r="AC151" s="60"/>
      <c r="AD151" s="60"/>
      <c r="AE151" s="60"/>
      <c r="AF151" s="6"/>
      <c r="AG151" s="139"/>
      <c r="AH151" s="139"/>
      <c r="AI151" s="139"/>
      <c r="AJ151" s="139"/>
    </row>
    <row r="152" spans="1:36" s="209" customFormat="1" ht="11.25" customHeight="1">
      <c r="A152" s="588"/>
      <c r="B152" s="65"/>
      <c r="C152" s="65"/>
      <c r="P152" s="60"/>
      <c r="Q152" s="65"/>
      <c r="R152" s="65"/>
      <c r="S152" s="60"/>
      <c r="T152" s="60"/>
      <c r="U152" s="60"/>
      <c r="V152" s="60"/>
      <c r="W152" s="65"/>
      <c r="X152" s="60"/>
      <c r="Y152" s="60"/>
      <c r="Z152" s="319"/>
      <c r="AA152" s="60"/>
      <c r="AB152" s="60"/>
      <c r="AC152" s="60"/>
      <c r="AD152" s="60"/>
      <c r="AE152" s="60"/>
      <c r="AF152" s="6"/>
      <c r="AG152" s="139"/>
      <c r="AH152" s="139"/>
      <c r="AI152" s="139"/>
      <c r="AJ152" s="139"/>
    </row>
    <row r="153" spans="1:36" s="209" customFormat="1" ht="11.25" customHeight="1">
      <c r="A153" s="588"/>
      <c r="B153" s="65"/>
      <c r="C153" s="65"/>
      <c r="P153" s="60"/>
      <c r="Q153" s="65"/>
      <c r="R153" s="65"/>
      <c r="S153" s="60"/>
      <c r="T153" s="60"/>
      <c r="U153" s="60"/>
      <c r="V153" s="60"/>
      <c r="W153" s="65"/>
      <c r="X153" s="60"/>
      <c r="Y153" s="60"/>
      <c r="Z153" s="319"/>
      <c r="AA153" s="60"/>
      <c r="AB153" s="60"/>
      <c r="AC153" s="60"/>
      <c r="AD153" s="60"/>
      <c r="AE153" s="60"/>
      <c r="AF153" s="6"/>
      <c r="AG153" s="139"/>
      <c r="AH153" s="139"/>
      <c r="AI153" s="139"/>
      <c r="AJ153" s="139"/>
    </row>
    <row r="154" spans="1:36" s="209" customFormat="1" ht="11.25" customHeight="1">
      <c r="A154" s="588"/>
      <c r="B154" s="65"/>
      <c r="C154" s="65"/>
      <c r="P154" s="60"/>
      <c r="Q154" s="65"/>
      <c r="R154" s="65"/>
      <c r="S154" s="60"/>
      <c r="T154" s="60"/>
      <c r="U154" s="60"/>
      <c r="V154" s="60"/>
      <c r="W154" s="65"/>
      <c r="X154" s="60"/>
      <c r="Y154" s="60"/>
      <c r="Z154" s="319"/>
      <c r="AA154" s="60"/>
      <c r="AB154" s="60"/>
      <c r="AC154" s="60"/>
      <c r="AD154" s="60"/>
      <c r="AE154" s="60"/>
      <c r="AF154" s="6"/>
      <c r="AG154" s="139"/>
      <c r="AH154" s="139"/>
      <c r="AI154" s="139"/>
      <c r="AJ154" s="139"/>
    </row>
    <row r="155" spans="1:36" s="209" customFormat="1" ht="11.25" customHeight="1">
      <c r="A155" s="588"/>
      <c r="B155" s="65"/>
      <c r="C155" s="65"/>
      <c r="P155" s="60"/>
      <c r="Q155" s="65"/>
      <c r="R155" s="65"/>
      <c r="S155" s="60"/>
      <c r="T155" s="60"/>
      <c r="U155" s="60"/>
      <c r="V155" s="60"/>
      <c r="W155" s="65"/>
      <c r="X155" s="60"/>
      <c r="Y155" s="60"/>
      <c r="Z155" s="319"/>
      <c r="AA155" s="60"/>
      <c r="AB155" s="60"/>
      <c r="AC155" s="60"/>
      <c r="AD155" s="60"/>
      <c r="AE155" s="60"/>
      <c r="AF155" s="6"/>
      <c r="AG155" s="139"/>
      <c r="AH155" s="139"/>
      <c r="AI155" s="139"/>
      <c r="AJ155" s="139"/>
    </row>
    <row r="156" spans="1:36" s="209" customFormat="1" ht="11.25" customHeight="1">
      <c r="A156" s="588"/>
      <c r="B156" s="65"/>
      <c r="C156" s="65"/>
      <c r="P156" s="60"/>
      <c r="Q156" s="65"/>
      <c r="R156" s="65"/>
      <c r="S156" s="60"/>
      <c r="T156" s="60"/>
      <c r="U156" s="60"/>
      <c r="V156" s="60"/>
      <c r="W156" s="65"/>
      <c r="X156" s="60"/>
      <c r="Y156" s="60"/>
      <c r="Z156" s="319"/>
      <c r="AA156" s="60"/>
      <c r="AB156" s="60"/>
      <c r="AC156" s="60"/>
      <c r="AD156" s="60"/>
      <c r="AE156" s="60"/>
      <c r="AF156" s="6"/>
      <c r="AG156" s="139"/>
      <c r="AH156" s="139"/>
      <c r="AI156" s="139"/>
      <c r="AJ156" s="139"/>
    </row>
    <row r="157" spans="1:36" s="209" customFormat="1" ht="11.25" customHeight="1">
      <c r="A157" s="588"/>
      <c r="B157" s="65"/>
      <c r="C157" s="65"/>
      <c r="P157" s="60"/>
      <c r="Q157" s="65"/>
      <c r="R157" s="65"/>
      <c r="S157" s="60"/>
      <c r="T157" s="60"/>
      <c r="U157" s="60"/>
      <c r="V157" s="60"/>
      <c r="W157" s="65"/>
      <c r="X157" s="60"/>
      <c r="Y157" s="60"/>
      <c r="Z157" s="319"/>
      <c r="AA157" s="60"/>
      <c r="AB157" s="60"/>
      <c r="AC157" s="60"/>
      <c r="AD157" s="60"/>
      <c r="AE157" s="60"/>
      <c r="AF157" s="6"/>
      <c r="AG157" s="139"/>
      <c r="AH157" s="139"/>
      <c r="AI157" s="139"/>
      <c r="AJ157" s="139"/>
    </row>
    <row r="158" spans="1:36" s="209" customFormat="1" ht="11.25" customHeight="1">
      <c r="A158" s="588"/>
      <c r="B158" s="65"/>
      <c r="C158" s="65"/>
      <c r="P158" s="60"/>
      <c r="Q158" s="65"/>
      <c r="R158" s="65"/>
      <c r="S158" s="60"/>
      <c r="T158" s="60"/>
      <c r="U158" s="60"/>
      <c r="V158" s="60"/>
      <c r="W158" s="65"/>
      <c r="X158" s="60"/>
      <c r="Y158" s="60"/>
      <c r="Z158" s="319"/>
      <c r="AA158" s="60"/>
      <c r="AB158" s="60"/>
      <c r="AC158" s="60"/>
      <c r="AD158" s="60"/>
      <c r="AE158" s="60"/>
      <c r="AF158" s="6"/>
      <c r="AG158" s="139"/>
      <c r="AH158" s="139"/>
      <c r="AI158" s="139"/>
      <c r="AJ158" s="139"/>
    </row>
    <row r="159" spans="1:36" s="209" customFormat="1" ht="11.25" customHeight="1">
      <c r="A159" s="588"/>
      <c r="B159" s="65"/>
      <c r="C159" s="65"/>
      <c r="P159" s="60"/>
      <c r="Q159" s="65"/>
      <c r="R159" s="65"/>
      <c r="S159" s="60"/>
      <c r="T159" s="60"/>
      <c r="U159" s="60"/>
      <c r="V159" s="60"/>
      <c r="W159" s="65"/>
      <c r="X159" s="60"/>
      <c r="Y159" s="60"/>
      <c r="Z159" s="319"/>
      <c r="AA159" s="60"/>
      <c r="AB159" s="60"/>
      <c r="AC159" s="60"/>
      <c r="AD159" s="60"/>
      <c r="AE159" s="60"/>
      <c r="AF159" s="6"/>
      <c r="AG159" s="139"/>
      <c r="AH159" s="139"/>
      <c r="AI159" s="139"/>
      <c r="AJ159" s="139"/>
    </row>
    <row r="160" spans="1:36" s="209" customFormat="1" ht="11.25" customHeight="1">
      <c r="A160" s="588"/>
      <c r="B160" s="65"/>
      <c r="C160" s="65"/>
      <c r="P160" s="60"/>
      <c r="Q160" s="65"/>
      <c r="R160" s="65"/>
      <c r="S160" s="60"/>
      <c r="T160" s="60"/>
      <c r="U160" s="60"/>
      <c r="V160" s="60"/>
      <c r="W160" s="65"/>
      <c r="X160" s="60"/>
      <c r="Y160" s="60"/>
      <c r="Z160" s="319"/>
      <c r="AA160" s="60"/>
      <c r="AB160" s="60"/>
      <c r="AC160" s="60"/>
      <c r="AD160" s="60"/>
      <c r="AE160" s="60"/>
      <c r="AF160" s="6"/>
      <c r="AG160" s="139"/>
      <c r="AH160" s="139"/>
      <c r="AI160" s="139"/>
      <c r="AJ160" s="139"/>
    </row>
    <row r="161" spans="1:36" s="209" customFormat="1" ht="11.25" customHeight="1">
      <c r="A161" s="588"/>
      <c r="B161" s="65"/>
      <c r="C161" s="65"/>
      <c r="P161" s="60"/>
      <c r="Q161" s="65"/>
      <c r="R161" s="65"/>
      <c r="S161" s="60"/>
      <c r="T161" s="60"/>
      <c r="U161" s="60"/>
      <c r="V161" s="60"/>
      <c r="W161" s="65"/>
      <c r="X161" s="60"/>
      <c r="Y161" s="60"/>
      <c r="Z161" s="319"/>
      <c r="AA161" s="60"/>
      <c r="AB161" s="60"/>
      <c r="AC161" s="60"/>
      <c r="AD161" s="60"/>
      <c r="AE161" s="60"/>
      <c r="AF161" s="6"/>
      <c r="AG161" s="139"/>
      <c r="AH161" s="139"/>
      <c r="AI161" s="139"/>
      <c r="AJ161" s="139"/>
    </row>
    <row r="162" spans="1:36" s="209" customFormat="1" ht="11.25" customHeight="1">
      <c r="A162" s="588"/>
      <c r="B162" s="65"/>
      <c r="C162" s="65"/>
      <c r="P162" s="60"/>
      <c r="Q162" s="65"/>
      <c r="R162" s="65"/>
      <c r="S162" s="60"/>
      <c r="T162" s="60"/>
      <c r="U162" s="60"/>
      <c r="V162" s="60"/>
      <c r="W162" s="65"/>
      <c r="X162" s="60"/>
      <c r="Y162" s="60"/>
      <c r="Z162" s="319"/>
      <c r="AA162" s="60"/>
      <c r="AB162" s="60"/>
      <c r="AC162" s="60"/>
      <c r="AD162" s="60"/>
      <c r="AE162" s="60"/>
      <c r="AF162" s="6"/>
      <c r="AG162" s="139"/>
      <c r="AH162" s="139"/>
      <c r="AI162" s="139"/>
      <c r="AJ162" s="139"/>
    </row>
    <row r="163" spans="1:36" s="209" customFormat="1" ht="11.25" customHeight="1">
      <c r="A163" s="588"/>
      <c r="B163" s="65"/>
      <c r="C163" s="65"/>
      <c r="P163" s="60"/>
      <c r="Q163" s="65"/>
      <c r="R163" s="65"/>
      <c r="S163" s="60"/>
      <c r="T163" s="60"/>
      <c r="U163" s="60"/>
      <c r="V163" s="60"/>
      <c r="W163" s="65"/>
      <c r="X163" s="60"/>
      <c r="Y163" s="60"/>
      <c r="Z163" s="319"/>
      <c r="AA163" s="60"/>
      <c r="AB163" s="60"/>
      <c r="AC163" s="60"/>
      <c r="AD163" s="60"/>
      <c r="AE163" s="60"/>
      <c r="AF163" s="6"/>
      <c r="AG163" s="139"/>
      <c r="AH163" s="139"/>
      <c r="AI163" s="139"/>
      <c r="AJ163" s="139"/>
    </row>
    <row r="164" spans="1:36" s="209" customFormat="1" ht="11.25" customHeight="1">
      <c r="A164" s="588"/>
      <c r="B164" s="65"/>
      <c r="C164" s="65"/>
      <c r="P164" s="60"/>
      <c r="Q164" s="65"/>
      <c r="R164" s="65"/>
      <c r="S164" s="60"/>
      <c r="T164" s="60"/>
      <c r="U164" s="60"/>
      <c r="V164" s="60"/>
      <c r="W164" s="65"/>
      <c r="X164" s="60"/>
      <c r="Y164" s="60"/>
      <c r="Z164" s="319"/>
      <c r="AA164" s="60"/>
      <c r="AB164" s="60"/>
      <c r="AC164" s="60"/>
      <c r="AD164" s="60"/>
      <c r="AE164" s="60"/>
      <c r="AF164" s="6"/>
      <c r="AG164" s="139"/>
      <c r="AH164" s="139"/>
      <c r="AI164" s="139"/>
      <c r="AJ164" s="139"/>
    </row>
    <row r="165" spans="1:36" s="209" customFormat="1" ht="11.25" customHeight="1">
      <c r="A165" s="588"/>
      <c r="B165" s="65"/>
      <c r="C165" s="65"/>
      <c r="P165" s="60"/>
      <c r="Q165" s="65"/>
      <c r="R165" s="65"/>
      <c r="S165" s="60"/>
      <c r="T165" s="60"/>
      <c r="U165" s="60"/>
      <c r="V165" s="60"/>
      <c r="W165" s="65"/>
      <c r="X165" s="60"/>
      <c r="Y165" s="60"/>
      <c r="Z165" s="319"/>
      <c r="AA165" s="60"/>
      <c r="AB165" s="60"/>
      <c r="AC165" s="60"/>
      <c r="AD165" s="60"/>
      <c r="AE165" s="60"/>
      <c r="AF165" s="6"/>
      <c r="AG165" s="139"/>
      <c r="AH165" s="139"/>
      <c r="AI165" s="139"/>
      <c r="AJ165" s="139"/>
    </row>
    <row r="166" spans="1:36" s="209" customFormat="1" ht="11.25" customHeight="1">
      <c r="A166" s="588"/>
      <c r="B166" s="65"/>
      <c r="C166" s="65"/>
      <c r="P166" s="60"/>
      <c r="Q166" s="65"/>
      <c r="R166" s="65"/>
      <c r="S166" s="60"/>
      <c r="T166" s="60"/>
      <c r="U166" s="60"/>
      <c r="V166" s="60"/>
      <c r="W166" s="65"/>
      <c r="X166" s="60"/>
      <c r="Y166" s="60"/>
      <c r="Z166" s="319"/>
      <c r="AA166" s="60"/>
      <c r="AB166" s="60"/>
      <c r="AC166" s="60"/>
      <c r="AD166" s="60"/>
      <c r="AE166" s="60"/>
      <c r="AF166" s="6"/>
      <c r="AG166" s="139"/>
      <c r="AH166" s="139"/>
      <c r="AI166" s="139"/>
      <c r="AJ166" s="139"/>
    </row>
    <row r="167" spans="1:36" s="209" customFormat="1" ht="11.25" customHeight="1">
      <c r="A167" s="588"/>
      <c r="B167" s="65"/>
      <c r="C167" s="65"/>
      <c r="P167" s="60"/>
      <c r="Q167" s="65"/>
      <c r="R167" s="65"/>
      <c r="S167" s="60"/>
      <c r="T167" s="60"/>
      <c r="U167" s="60"/>
      <c r="V167" s="60"/>
      <c r="W167" s="65"/>
      <c r="X167" s="60"/>
      <c r="Y167" s="60"/>
      <c r="Z167" s="319"/>
      <c r="AA167" s="60"/>
      <c r="AB167" s="60"/>
      <c r="AC167" s="60"/>
      <c r="AD167" s="60"/>
      <c r="AE167" s="60"/>
      <c r="AF167" s="6"/>
      <c r="AG167" s="139"/>
      <c r="AH167" s="139"/>
      <c r="AI167" s="139"/>
      <c r="AJ167" s="139"/>
    </row>
    <row r="168" spans="1:36" s="209" customFormat="1" ht="11.25" customHeight="1">
      <c r="A168" s="588"/>
      <c r="B168" s="65"/>
      <c r="C168" s="65"/>
      <c r="P168" s="60"/>
      <c r="Q168" s="65"/>
      <c r="R168" s="65"/>
      <c r="S168" s="60"/>
      <c r="T168" s="60"/>
      <c r="U168" s="60"/>
      <c r="V168" s="60"/>
      <c r="W168" s="65"/>
      <c r="X168" s="60"/>
      <c r="Y168" s="60"/>
      <c r="Z168" s="319"/>
      <c r="AA168" s="60"/>
      <c r="AB168" s="60"/>
      <c r="AC168" s="60"/>
      <c r="AD168" s="60"/>
      <c r="AE168" s="60"/>
      <c r="AF168" s="6"/>
      <c r="AG168" s="139"/>
      <c r="AH168" s="139"/>
      <c r="AI168" s="139"/>
      <c r="AJ168" s="139"/>
    </row>
    <row r="169" spans="1:36" s="209" customFormat="1" ht="11.25" customHeight="1">
      <c r="A169" s="588"/>
      <c r="B169" s="65"/>
      <c r="C169" s="65"/>
      <c r="P169" s="60"/>
      <c r="Q169" s="65"/>
      <c r="R169" s="65"/>
      <c r="S169" s="60"/>
      <c r="T169" s="60"/>
      <c r="U169" s="60"/>
      <c r="V169" s="60"/>
      <c r="W169" s="65"/>
      <c r="X169" s="60"/>
      <c r="Y169" s="60"/>
      <c r="Z169" s="319"/>
      <c r="AA169" s="60"/>
      <c r="AB169" s="60"/>
      <c r="AC169" s="60"/>
      <c r="AD169" s="60"/>
      <c r="AE169" s="60"/>
      <c r="AF169" s="6"/>
      <c r="AG169" s="139"/>
      <c r="AH169" s="139"/>
      <c r="AI169" s="139"/>
      <c r="AJ169" s="139"/>
    </row>
    <row r="170" spans="1:36" s="209" customFormat="1" ht="11.25" customHeight="1">
      <c r="A170" s="588"/>
      <c r="B170" s="65"/>
      <c r="C170" s="65"/>
      <c r="P170" s="60"/>
      <c r="Q170" s="65"/>
      <c r="R170" s="65"/>
      <c r="S170" s="60"/>
      <c r="T170" s="60"/>
      <c r="U170" s="60"/>
      <c r="V170" s="60"/>
      <c r="W170" s="65"/>
      <c r="X170" s="60"/>
      <c r="Y170" s="60"/>
      <c r="Z170" s="319"/>
      <c r="AA170" s="60"/>
      <c r="AB170" s="60"/>
      <c r="AC170" s="60"/>
      <c r="AD170" s="60"/>
      <c r="AE170" s="60"/>
      <c r="AF170" s="6"/>
      <c r="AG170" s="139"/>
      <c r="AH170" s="139"/>
      <c r="AI170" s="139"/>
      <c r="AJ170" s="139"/>
    </row>
    <row r="171" spans="1:36" s="209" customFormat="1" ht="11.25" customHeight="1">
      <c r="A171" s="588"/>
      <c r="B171" s="65"/>
      <c r="C171" s="65"/>
      <c r="P171" s="60"/>
      <c r="Q171" s="65"/>
      <c r="R171" s="65"/>
      <c r="S171" s="60"/>
      <c r="T171" s="60"/>
      <c r="U171" s="60"/>
      <c r="V171" s="60"/>
      <c r="W171" s="65"/>
      <c r="X171" s="60"/>
      <c r="Y171" s="60"/>
      <c r="Z171" s="319"/>
      <c r="AA171" s="60"/>
      <c r="AB171" s="60"/>
      <c r="AC171" s="60"/>
      <c r="AD171" s="60"/>
      <c r="AE171" s="60"/>
      <c r="AF171" s="6"/>
      <c r="AG171" s="139"/>
      <c r="AH171" s="139"/>
      <c r="AI171" s="139"/>
      <c r="AJ171" s="139"/>
    </row>
    <row r="172" spans="1:36" s="209" customFormat="1" ht="11.25" customHeight="1">
      <c r="A172" s="588"/>
      <c r="B172" s="65"/>
      <c r="C172" s="65"/>
      <c r="P172" s="60"/>
      <c r="Q172" s="65"/>
      <c r="R172" s="65"/>
      <c r="S172" s="60"/>
      <c r="T172" s="60"/>
      <c r="U172" s="60"/>
      <c r="V172" s="60"/>
      <c r="W172" s="65"/>
      <c r="X172" s="60"/>
      <c r="Y172" s="60"/>
      <c r="Z172" s="319"/>
      <c r="AA172" s="60"/>
      <c r="AB172" s="60"/>
      <c r="AC172" s="60"/>
      <c r="AD172" s="60"/>
      <c r="AE172" s="60"/>
      <c r="AF172" s="6"/>
      <c r="AG172" s="139"/>
      <c r="AH172" s="139"/>
      <c r="AI172" s="139"/>
      <c r="AJ172" s="139"/>
    </row>
    <row r="173" spans="1:36" s="209" customFormat="1" ht="11.25" customHeight="1">
      <c r="A173" s="588"/>
      <c r="B173" s="65"/>
      <c r="C173" s="65"/>
      <c r="P173" s="60"/>
      <c r="Q173" s="65"/>
      <c r="R173" s="65"/>
      <c r="S173" s="60"/>
      <c r="T173" s="60"/>
      <c r="U173" s="60"/>
      <c r="V173" s="60"/>
      <c r="W173" s="65"/>
      <c r="X173" s="60"/>
      <c r="Y173" s="60"/>
      <c r="Z173" s="319"/>
      <c r="AA173" s="60"/>
      <c r="AB173" s="60"/>
      <c r="AC173" s="60"/>
      <c r="AD173" s="60"/>
      <c r="AE173" s="60"/>
      <c r="AF173" s="6"/>
      <c r="AG173" s="139"/>
      <c r="AH173" s="139"/>
      <c r="AI173" s="139"/>
      <c r="AJ173" s="139"/>
    </row>
    <row r="174" spans="1:36" s="209" customFormat="1" ht="11.25" customHeight="1">
      <c r="A174" s="588"/>
      <c r="B174" s="65"/>
      <c r="C174" s="65"/>
      <c r="P174" s="60"/>
      <c r="Q174" s="65"/>
      <c r="R174" s="65"/>
      <c r="S174" s="60"/>
      <c r="T174" s="60"/>
      <c r="U174" s="60"/>
      <c r="V174" s="60"/>
      <c r="W174" s="65"/>
      <c r="X174" s="60"/>
      <c r="Y174" s="60"/>
      <c r="Z174" s="319"/>
      <c r="AA174" s="60"/>
      <c r="AB174" s="60"/>
      <c r="AC174" s="60"/>
      <c r="AD174" s="60"/>
      <c r="AE174" s="60"/>
      <c r="AF174" s="6"/>
      <c r="AG174" s="139"/>
      <c r="AH174" s="139"/>
      <c r="AI174" s="139"/>
      <c r="AJ174" s="139"/>
    </row>
    <row r="175" spans="1:36" s="209" customFormat="1" ht="11.25" customHeight="1">
      <c r="A175" s="588"/>
      <c r="B175" s="65"/>
      <c r="C175" s="65"/>
      <c r="P175" s="60"/>
      <c r="Q175" s="65"/>
      <c r="R175" s="65"/>
      <c r="S175" s="60"/>
      <c r="T175" s="60"/>
      <c r="U175" s="60"/>
      <c r="V175" s="60"/>
      <c r="W175" s="65"/>
      <c r="X175" s="60"/>
      <c r="Y175" s="60"/>
      <c r="Z175" s="319"/>
      <c r="AA175" s="60"/>
      <c r="AB175" s="60"/>
      <c r="AC175" s="60"/>
      <c r="AD175" s="60"/>
      <c r="AE175" s="60"/>
      <c r="AF175" s="6"/>
      <c r="AG175" s="139"/>
      <c r="AH175" s="139"/>
      <c r="AI175" s="139"/>
      <c r="AJ175" s="139"/>
    </row>
    <row r="176" spans="1:36" s="209" customFormat="1" ht="11.25" customHeight="1">
      <c r="A176" s="588"/>
      <c r="B176" s="65"/>
      <c r="C176" s="65"/>
      <c r="P176" s="60"/>
      <c r="Q176" s="65"/>
      <c r="R176" s="65"/>
      <c r="S176" s="60"/>
      <c r="T176" s="60"/>
      <c r="U176" s="60"/>
      <c r="V176" s="60"/>
      <c r="W176" s="65"/>
      <c r="X176" s="60"/>
      <c r="Y176" s="60"/>
      <c r="Z176" s="319"/>
      <c r="AA176" s="60"/>
      <c r="AB176" s="60"/>
      <c r="AC176" s="60"/>
      <c r="AD176" s="60"/>
      <c r="AE176" s="60"/>
      <c r="AF176" s="6"/>
      <c r="AG176" s="139"/>
      <c r="AH176" s="139"/>
      <c r="AI176" s="139"/>
      <c r="AJ176" s="139"/>
    </row>
    <row r="177" spans="1:36" s="209" customFormat="1" ht="11.25" customHeight="1">
      <c r="A177" s="588"/>
      <c r="B177" s="65"/>
      <c r="C177" s="65"/>
      <c r="P177" s="60"/>
      <c r="Q177" s="65"/>
      <c r="R177" s="65"/>
      <c r="S177" s="60"/>
      <c r="T177" s="60"/>
      <c r="U177" s="60"/>
      <c r="V177" s="60"/>
      <c r="W177" s="65"/>
      <c r="X177" s="60"/>
      <c r="Y177" s="60"/>
      <c r="Z177" s="319"/>
      <c r="AA177" s="60"/>
      <c r="AB177" s="60"/>
      <c r="AC177" s="60"/>
      <c r="AD177" s="60"/>
      <c r="AE177" s="60"/>
      <c r="AF177" s="6"/>
      <c r="AG177" s="139"/>
      <c r="AH177" s="139"/>
      <c r="AI177" s="139"/>
      <c r="AJ177" s="139"/>
    </row>
    <row r="178" spans="1:36" s="209" customFormat="1" ht="11.25" customHeight="1">
      <c r="A178" s="588"/>
      <c r="B178" s="65"/>
      <c r="C178" s="65"/>
      <c r="P178" s="60"/>
      <c r="Q178" s="65"/>
      <c r="R178" s="65"/>
      <c r="S178" s="60"/>
      <c r="T178" s="60"/>
      <c r="U178" s="60"/>
      <c r="V178" s="60"/>
      <c r="W178" s="65"/>
      <c r="X178" s="60"/>
      <c r="Y178" s="60"/>
      <c r="Z178" s="319"/>
      <c r="AA178" s="60"/>
      <c r="AB178" s="60"/>
      <c r="AC178" s="60"/>
      <c r="AD178" s="60"/>
      <c r="AE178" s="60"/>
      <c r="AF178" s="6"/>
      <c r="AG178" s="139"/>
      <c r="AH178" s="139"/>
      <c r="AI178" s="139"/>
      <c r="AJ178" s="139"/>
    </row>
    <row r="179" spans="1:36" s="209" customFormat="1" ht="11.25" customHeight="1">
      <c r="A179" s="588"/>
      <c r="B179" s="65"/>
      <c r="C179" s="65"/>
      <c r="P179" s="60"/>
      <c r="Q179" s="65"/>
      <c r="R179" s="65"/>
      <c r="S179" s="60"/>
      <c r="T179" s="60"/>
      <c r="U179" s="60"/>
      <c r="V179" s="60"/>
      <c r="W179" s="65"/>
      <c r="X179" s="60"/>
      <c r="Y179" s="60"/>
      <c r="Z179" s="319"/>
      <c r="AA179" s="60"/>
      <c r="AB179" s="60"/>
      <c r="AC179" s="60"/>
      <c r="AD179" s="60"/>
      <c r="AE179" s="60"/>
      <c r="AF179" s="6"/>
      <c r="AG179" s="139"/>
      <c r="AH179" s="139"/>
      <c r="AI179" s="139"/>
      <c r="AJ179" s="139"/>
    </row>
    <row r="180" spans="1:36" s="209" customFormat="1" ht="11.25" customHeight="1">
      <c r="A180" s="588"/>
      <c r="B180" s="65"/>
      <c r="C180" s="65"/>
      <c r="P180" s="60"/>
      <c r="Q180" s="65"/>
      <c r="R180" s="65"/>
      <c r="S180" s="60"/>
      <c r="T180" s="60"/>
      <c r="U180" s="60"/>
      <c r="V180" s="60"/>
      <c r="W180" s="65"/>
      <c r="X180" s="60"/>
      <c r="Y180" s="60"/>
      <c r="Z180" s="319"/>
      <c r="AA180" s="60"/>
      <c r="AB180" s="60"/>
      <c r="AC180" s="60"/>
      <c r="AD180" s="60"/>
      <c r="AE180" s="60"/>
      <c r="AF180" s="6"/>
      <c r="AG180" s="139"/>
      <c r="AH180" s="139"/>
      <c r="AI180" s="139"/>
      <c r="AJ180" s="139"/>
    </row>
    <row r="181" spans="1:36" s="209" customFormat="1" ht="11.25" customHeight="1">
      <c r="A181" s="588"/>
      <c r="B181" s="65"/>
      <c r="C181" s="65"/>
      <c r="P181" s="60"/>
      <c r="Q181" s="65"/>
      <c r="R181" s="65"/>
      <c r="S181" s="60"/>
      <c r="T181" s="60"/>
      <c r="U181" s="60"/>
      <c r="V181" s="60"/>
      <c r="W181" s="65"/>
      <c r="X181" s="60"/>
      <c r="Y181" s="60"/>
      <c r="Z181" s="319"/>
      <c r="AA181" s="60"/>
      <c r="AB181" s="60"/>
      <c r="AC181" s="60"/>
      <c r="AD181" s="60"/>
      <c r="AE181" s="60"/>
      <c r="AF181" s="6"/>
      <c r="AG181" s="139"/>
      <c r="AH181" s="139"/>
      <c r="AI181" s="139"/>
      <c r="AJ181" s="139"/>
    </row>
    <row r="182" spans="1:36" s="209" customFormat="1" ht="11.25" customHeight="1">
      <c r="A182" s="588"/>
      <c r="B182" s="65"/>
      <c r="C182" s="65"/>
      <c r="P182" s="60"/>
      <c r="Q182" s="65"/>
      <c r="R182" s="65"/>
      <c r="S182" s="60"/>
      <c r="T182" s="60"/>
      <c r="U182" s="60"/>
      <c r="V182" s="60"/>
      <c r="W182" s="65"/>
      <c r="X182" s="60"/>
      <c r="Y182" s="60"/>
      <c r="Z182" s="319"/>
      <c r="AA182" s="60"/>
      <c r="AB182" s="60"/>
      <c r="AC182" s="60"/>
      <c r="AD182" s="60"/>
      <c r="AE182" s="60"/>
      <c r="AF182" s="6"/>
      <c r="AG182" s="139"/>
      <c r="AH182" s="139"/>
      <c r="AI182" s="139"/>
      <c r="AJ182" s="139"/>
    </row>
    <row r="183" spans="1:36" s="209" customFormat="1" ht="11.25" customHeight="1">
      <c r="A183" s="588"/>
      <c r="B183" s="65"/>
      <c r="C183" s="65"/>
      <c r="P183" s="60"/>
      <c r="Q183" s="65"/>
      <c r="R183" s="65"/>
      <c r="S183" s="60"/>
      <c r="T183" s="60"/>
      <c r="U183" s="60"/>
      <c r="V183" s="60"/>
      <c r="W183" s="65"/>
      <c r="X183" s="60"/>
      <c r="Y183" s="60"/>
      <c r="Z183" s="319"/>
      <c r="AA183" s="60"/>
      <c r="AB183" s="60"/>
      <c r="AC183" s="60"/>
      <c r="AD183" s="60"/>
      <c r="AE183" s="60"/>
      <c r="AF183" s="6"/>
      <c r="AG183" s="139"/>
      <c r="AH183" s="139"/>
      <c r="AI183" s="139"/>
      <c r="AJ183" s="139"/>
    </row>
    <row r="184" spans="1:36" s="209" customFormat="1" ht="11.25" customHeight="1">
      <c r="A184" s="588"/>
      <c r="B184" s="65"/>
      <c r="C184" s="65"/>
      <c r="P184" s="60"/>
      <c r="Q184" s="65"/>
      <c r="R184" s="65"/>
      <c r="S184" s="60"/>
      <c r="T184" s="60"/>
      <c r="U184" s="60"/>
      <c r="V184" s="60"/>
      <c r="W184" s="65"/>
      <c r="X184" s="60"/>
      <c r="Y184" s="60"/>
      <c r="Z184" s="319"/>
      <c r="AA184" s="60"/>
      <c r="AB184" s="60"/>
      <c r="AC184" s="60"/>
      <c r="AD184" s="60"/>
      <c r="AE184" s="60"/>
      <c r="AF184" s="6"/>
      <c r="AG184" s="139"/>
      <c r="AH184" s="139"/>
      <c r="AI184" s="139"/>
      <c r="AJ184" s="139"/>
    </row>
    <row r="185" spans="1:36" s="209" customFormat="1" ht="11.25" customHeight="1">
      <c r="A185" s="588"/>
      <c r="B185" s="65"/>
      <c r="C185" s="65"/>
      <c r="P185" s="60"/>
      <c r="Q185" s="65"/>
      <c r="R185" s="65"/>
      <c r="S185" s="60"/>
      <c r="T185" s="60"/>
      <c r="U185" s="60"/>
      <c r="V185" s="60"/>
      <c r="W185" s="65"/>
      <c r="X185" s="60"/>
      <c r="Y185" s="60"/>
      <c r="Z185" s="319"/>
      <c r="AA185" s="60"/>
      <c r="AB185" s="60"/>
      <c r="AC185" s="60"/>
      <c r="AD185" s="60"/>
      <c r="AE185" s="60"/>
      <c r="AF185" s="6"/>
      <c r="AG185" s="139"/>
      <c r="AH185" s="139"/>
      <c r="AI185" s="139"/>
      <c r="AJ185" s="139"/>
    </row>
    <row r="186" spans="1:36" s="209" customFormat="1" ht="11.25" customHeight="1">
      <c r="A186" s="588"/>
      <c r="B186" s="65"/>
      <c r="C186" s="65"/>
      <c r="P186" s="60"/>
      <c r="Q186" s="65"/>
      <c r="R186" s="65"/>
      <c r="S186" s="60"/>
      <c r="T186" s="60"/>
      <c r="U186" s="60"/>
      <c r="V186" s="60"/>
      <c r="W186" s="65"/>
      <c r="X186" s="60"/>
      <c r="Y186" s="60"/>
      <c r="Z186" s="319"/>
      <c r="AA186" s="60"/>
      <c r="AB186" s="60"/>
      <c r="AC186" s="60"/>
      <c r="AD186" s="60"/>
      <c r="AE186" s="60"/>
      <c r="AF186" s="6"/>
      <c r="AG186" s="139"/>
      <c r="AH186" s="139"/>
      <c r="AI186" s="139"/>
      <c r="AJ186" s="139"/>
    </row>
    <row r="187" spans="1:36" s="209" customFormat="1" ht="11.25" customHeight="1">
      <c r="A187" s="588"/>
      <c r="B187" s="65"/>
      <c r="C187" s="65"/>
      <c r="P187" s="60"/>
      <c r="Q187" s="65"/>
      <c r="R187" s="65"/>
      <c r="S187" s="60"/>
      <c r="T187" s="60"/>
      <c r="U187" s="60"/>
      <c r="V187" s="60"/>
      <c r="W187" s="65"/>
      <c r="X187" s="60"/>
      <c r="Y187" s="60"/>
      <c r="Z187" s="319"/>
      <c r="AA187" s="60"/>
      <c r="AB187" s="60"/>
      <c r="AC187" s="60"/>
      <c r="AD187" s="60"/>
      <c r="AE187" s="60"/>
      <c r="AF187" s="6"/>
      <c r="AG187" s="139"/>
      <c r="AH187" s="139"/>
      <c r="AI187" s="139"/>
      <c r="AJ187" s="139"/>
    </row>
    <row r="188" spans="1:36" s="209" customFormat="1" ht="11.25" customHeight="1">
      <c r="A188" s="588"/>
      <c r="B188" s="65"/>
      <c r="C188" s="65"/>
      <c r="P188" s="60"/>
      <c r="Q188" s="65"/>
      <c r="R188" s="65"/>
      <c r="S188" s="60"/>
      <c r="T188" s="60"/>
      <c r="U188" s="60"/>
      <c r="V188" s="60"/>
      <c r="W188" s="65"/>
      <c r="X188" s="60"/>
      <c r="Y188" s="60"/>
      <c r="Z188" s="319"/>
      <c r="AA188" s="60"/>
      <c r="AB188" s="60"/>
      <c r="AC188" s="60"/>
      <c r="AD188" s="60"/>
      <c r="AE188" s="60"/>
      <c r="AF188" s="6"/>
      <c r="AG188" s="139"/>
      <c r="AH188" s="139"/>
      <c r="AI188" s="139"/>
      <c r="AJ188" s="139"/>
    </row>
    <row r="189" spans="1:36" s="209" customFormat="1" ht="11.25" customHeight="1">
      <c r="A189" s="588"/>
      <c r="B189" s="65"/>
      <c r="C189" s="65"/>
      <c r="P189" s="60"/>
      <c r="Q189" s="65"/>
      <c r="R189" s="65"/>
      <c r="S189" s="60"/>
      <c r="T189" s="60"/>
      <c r="U189" s="60"/>
      <c r="V189" s="60"/>
      <c r="W189" s="65"/>
      <c r="X189" s="60"/>
      <c r="Y189" s="60"/>
      <c r="Z189" s="319"/>
      <c r="AA189" s="60"/>
      <c r="AB189" s="60"/>
      <c r="AC189" s="60"/>
      <c r="AD189" s="60"/>
      <c r="AE189" s="60"/>
      <c r="AF189" s="6"/>
      <c r="AG189" s="139"/>
      <c r="AH189" s="139"/>
      <c r="AI189" s="139"/>
      <c r="AJ189" s="139"/>
    </row>
    <row r="190" spans="1:36" s="209" customFormat="1" ht="11.25" customHeight="1">
      <c r="A190" s="588"/>
      <c r="B190" s="65"/>
      <c r="C190" s="65"/>
      <c r="P190" s="60"/>
      <c r="Q190" s="65"/>
      <c r="R190" s="65"/>
      <c r="S190" s="60"/>
      <c r="T190" s="60"/>
      <c r="U190" s="60"/>
      <c r="V190" s="60"/>
      <c r="W190" s="65"/>
      <c r="X190" s="60"/>
      <c r="Y190" s="60"/>
      <c r="Z190" s="319"/>
      <c r="AA190" s="60"/>
      <c r="AB190" s="60"/>
      <c r="AC190" s="60"/>
      <c r="AD190" s="60"/>
      <c r="AE190" s="60"/>
      <c r="AF190" s="6"/>
      <c r="AG190" s="139"/>
      <c r="AH190" s="139"/>
      <c r="AI190" s="139"/>
      <c r="AJ190" s="139"/>
    </row>
    <row r="191" spans="1:36" s="209" customFormat="1" ht="11.25" customHeight="1">
      <c r="A191" s="588"/>
      <c r="B191" s="65"/>
      <c r="C191" s="65"/>
      <c r="P191" s="60"/>
      <c r="Q191" s="65"/>
      <c r="R191" s="65"/>
      <c r="S191" s="60"/>
      <c r="T191" s="60"/>
      <c r="U191" s="60"/>
      <c r="V191" s="60"/>
      <c r="W191" s="65"/>
      <c r="X191" s="60"/>
      <c r="Y191" s="60"/>
      <c r="Z191" s="319"/>
      <c r="AA191" s="60"/>
      <c r="AB191" s="60"/>
      <c r="AC191" s="60"/>
      <c r="AD191" s="60"/>
      <c r="AE191" s="60"/>
      <c r="AF191" s="6"/>
      <c r="AG191" s="139"/>
      <c r="AH191" s="139"/>
      <c r="AI191" s="139"/>
      <c r="AJ191" s="139"/>
    </row>
    <row r="192" spans="1:36" s="209" customFormat="1" ht="11.25" customHeight="1">
      <c r="A192" s="588"/>
      <c r="B192" s="65"/>
      <c r="C192" s="65"/>
      <c r="P192" s="60"/>
      <c r="Q192" s="65"/>
      <c r="R192" s="65"/>
      <c r="S192" s="60"/>
      <c r="T192" s="60"/>
      <c r="U192" s="60"/>
      <c r="V192" s="60"/>
      <c r="W192" s="65"/>
      <c r="X192" s="60"/>
      <c r="Y192" s="60"/>
      <c r="Z192" s="319"/>
      <c r="AA192" s="60"/>
      <c r="AB192" s="60"/>
      <c r="AC192" s="60"/>
      <c r="AD192" s="60"/>
      <c r="AE192" s="60"/>
      <c r="AF192" s="6"/>
      <c r="AG192" s="139"/>
      <c r="AH192" s="139"/>
      <c r="AI192" s="139"/>
      <c r="AJ192" s="139"/>
    </row>
    <row r="193" spans="1:36" s="209" customFormat="1" ht="11.25" customHeight="1">
      <c r="A193" s="588"/>
      <c r="B193" s="65"/>
      <c r="C193" s="65"/>
      <c r="P193" s="60"/>
      <c r="Q193" s="65"/>
      <c r="R193" s="65"/>
      <c r="S193" s="60"/>
      <c r="T193" s="60"/>
      <c r="U193" s="60"/>
      <c r="V193" s="60"/>
      <c r="W193" s="65"/>
      <c r="X193" s="60"/>
      <c r="Y193" s="60"/>
      <c r="Z193" s="319"/>
      <c r="AA193" s="60"/>
      <c r="AB193" s="60"/>
      <c r="AC193" s="60"/>
      <c r="AD193" s="60"/>
      <c r="AE193" s="60"/>
      <c r="AF193" s="6"/>
      <c r="AG193" s="139"/>
      <c r="AH193" s="139"/>
      <c r="AI193" s="139"/>
      <c r="AJ193" s="139"/>
    </row>
    <row r="194" spans="1:36" s="209" customFormat="1" ht="11.25" customHeight="1">
      <c r="A194" s="588"/>
      <c r="B194" s="65"/>
      <c r="C194" s="65"/>
      <c r="P194" s="60"/>
      <c r="Q194" s="65"/>
      <c r="R194" s="65"/>
      <c r="S194" s="60"/>
      <c r="T194" s="60"/>
      <c r="U194" s="60"/>
      <c r="V194" s="60"/>
      <c r="W194" s="65"/>
      <c r="X194" s="60"/>
      <c r="Y194" s="60"/>
      <c r="Z194" s="319"/>
      <c r="AA194" s="60"/>
      <c r="AB194" s="60"/>
      <c r="AC194" s="60"/>
      <c r="AD194" s="60"/>
      <c r="AE194" s="60"/>
      <c r="AF194" s="6"/>
      <c r="AG194" s="139"/>
      <c r="AH194" s="139"/>
      <c r="AI194" s="139"/>
      <c r="AJ194" s="139"/>
    </row>
    <row r="195" spans="1:36" s="209" customFormat="1" ht="11.25" customHeight="1">
      <c r="A195" s="588"/>
      <c r="B195" s="65"/>
      <c r="C195" s="65"/>
      <c r="P195" s="60"/>
      <c r="Q195" s="65"/>
      <c r="R195" s="65"/>
      <c r="S195" s="60"/>
      <c r="T195" s="60"/>
      <c r="U195" s="60"/>
      <c r="V195" s="60"/>
      <c r="W195" s="65"/>
      <c r="X195" s="60"/>
      <c r="Y195" s="60"/>
      <c r="Z195" s="319"/>
      <c r="AA195" s="60"/>
      <c r="AB195" s="60"/>
      <c r="AC195" s="60"/>
      <c r="AD195" s="60"/>
      <c r="AE195" s="60"/>
      <c r="AF195" s="6"/>
      <c r="AG195" s="139"/>
      <c r="AH195" s="139"/>
      <c r="AI195" s="139"/>
      <c r="AJ195" s="139"/>
    </row>
    <row r="199" spans="1:36" ht="11.25" customHeight="1">
      <c r="A199" s="591"/>
      <c r="B199" s="9"/>
      <c r="P199" s="9"/>
      <c r="S199" s="9"/>
      <c r="T199" s="9"/>
      <c r="U199" s="9"/>
      <c r="V199" s="9"/>
      <c r="X199" s="9"/>
      <c r="Y199" s="9"/>
      <c r="Z199" s="9"/>
      <c r="AA199" s="9"/>
      <c r="AB199" s="9"/>
      <c r="AC199" s="9"/>
      <c r="AD199" s="9"/>
      <c r="AE199" s="9"/>
      <c r="AF199" s="9"/>
      <c r="AG199" s="9"/>
      <c r="AH199" s="9"/>
      <c r="AI199" s="9"/>
      <c r="AJ199" s="9"/>
    </row>
    <row r="200" spans="1:36" ht="11.25" customHeight="1">
      <c r="A200" s="591"/>
      <c r="B200" s="9"/>
      <c r="P200" s="9"/>
      <c r="S200" s="9"/>
      <c r="T200" s="9"/>
      <c r="U200" s="9"/>
      <c r="V200" s="9"/>
      <c r="X200" s="9"/>
      <c r="Y200" s="9"/>
      <c r="Z200" s="9"/>
      <c r="AA200" s="9"/>
      <c r="AB200" s="9"/>
      <c r="AC200" s="9"/>
      <c r="AD200" s="9"/>
      <c r="AE200" s="9"/>
      <c r="AF200" s="9"/>
      <c r="AG200" s="9"/>
      <c r="AH200" s="9"/>
      <c r="AI200" s="9"/>
      <c r="AJ200" s="9"/>
    </row>
    <row r="201" spans="1:36" ht="11.25" customHeight="1">
      <c r="A201" s="591"/>
      <c r="B201" s="9"/>
      <c r="P201" s="9"/>
      <c r="S201" s="9"/>
      <c r="T201" s="9"/>
      <c r="U201" s="9"/>
      <c r="V201" s="9"/>
      <c r="X201" s="9"/>
      <c r="Y201" s="9"/>
      <c r="Z201" s="9"/>
      <c r="AA201" s="9"/>
      <c r="AB201" s="9"/>
      <c r="AC201" s="9"/>
      <c r="AD201" s="9"/>
      <c r="AE201" s="9"/>
      <c r="AF201" s="9"/>
      <c r="AG201" s="9"/>
      <c r="AH201" s="9"/>
      <c r="AI201" s="9"/>
      <c r="AJ201" s="9"/>
    </row>
    <row r="202" spans="1:36" ht="11.25" customHeight="1">
      <c r="A202" s="591"/>
      <c r="B202" s="9"/>
      <c r="P202" s="9"/>
      <c r="S202" s="9"/>
      <c r="T202" s="9"/>
      <c r="U202" s="9"/>
      <c r="V202" s="9"/>
      <c r="X202" s="9"/>
      <c r="Y202" s="9"/>
      <c r="Z202" s="9"/>
      <c r="AA202" s="9"/>
      <c r="AB202" s="9"/>
      <c r="AC202" s="9"/>
      <c r="AD202" s="9"/>
      <c r="AE202" s="9"/>
      <c r="AF202" s="9"/>
      <c r="AG202" s="9"/>
      <c r="AH202" s="9"/>
      <c r="AI202" s="9"/>
      <c r="AJ202" s="9"/>
    </row>
    <row r="203" spans="1:36" ht="11.25" customHeight="1">
      <c r="A203" s="591"/>
      <c r="B203" s="9"/>
      <c r="P203" s="9"/>
      <c r="S203" s="9"/>
      <c r="T203" s="9"/>
      <c r="U203" s="9"/>
      <c r="V203" s="9"/>
      <c r="X203" s="9"/>
      <c r="Y203" s="9"/>
      <c r="Z203" s="9"/>
      <c r="AA203" s="9"/>
      <c r="AB203" s="9"/>
      <c r="AC203" s="9"/>
      <c r="AD203" s="9"/>
      <c r="AE203" s="9"/>
      <c r="AF203" s="9"/>
      <c r="AG203" s="9"/>
      <c r="AH203" s="9"/>
      <c r="AI203" s="9"/>
      <c r="AJ203" s="9"/>
    </row>
    <row r="204" spans="1:36" ht="11.25" customHeight="1">
      <c r="A204" s="591"/>
      <c r="B204" s="9"/>
      <c r="P204" s="9"/>
      <c r="S204" s="9"/>
      <c r="T204" s="9"/>
      <c r="U204" s="9"/>
      <c r="V204" s="9"/>
      <c r="X204" s="9"/>
      <c r="Y204" s="9"/>
      <c r="Z204" s="9"/>
      <c r="AA204" s="9"/>
      <c r="AB204" s="9"/>
      <c r="AC204" s="9"/>
      <c r="AD204" s="9"/>
      <c r="AE204" s="9"/>
      <c r="AF204" s="9"/>
      <c r="AG204" s="9"/>
      <c r="AH204" s="9"/>
      <c r="AI204" s="9"/>
      <c r="AJ204" s="9"/>
    </row>
    <row r="205" spans="1:36" ht="11.25" customHeight="1">
      <c r="A205" s="591"/>
      <c r="B205" s="9"/>
      <c r="P205" s="9"/>
      <c r="S205" s="9"/>
      <c r="T205" s="9"/>
      <c r="U205" s="9"/>
      <c r="V205" s="9"/>
      <c r="X205" s="9"/>
      <c r="Y205" s="9"/>
      <c r="Z205" s="9"/>
      <c r="AA205" s="9"/>
      <c r="AB205" s="9"/>
      <c r="AC205" s="9"/>
      <c r="AD205" s="9"/>
      <c r="AE205" s="9"/>
      <c r="AF205" s="9"/>
      <c r="AG205" s="9"/>
      <c r="AH205" s="9"/>
      <c r="AI205" s="9"/>
      <c r="AJ205" s="9"/>
    </row>
    <row r="206" spans="1:36" ht="11.25" customHeight="1">
      <c r="A206" s="591"/>
      <c r="B206" s="9"/>
      <c r="P206" s="9"/>
      <c r="S206" s="9"/>
      <c r="T206" s="9"/>
      <c r="U206" s="9"/>
      <c r="V206" s="9"/>
      <c r="X206" s="9"/>
      <c r="Y206" s="9"/>
      <c r="Z206" s="9"/>
      <c r="AA206" s="9"/>
      <c r="AB206" s="9"/>
      <c r="AC206" s="9"/>
      <c r="AD206" s="9"/>
      <c r="AE206" s="9"/>
      <c r="AF206" s="9"/>
      <c r="AG206" s="9"/>
      <c r="AH206" s="9"/>
      <c r="AI206" s="9"/>
      <c r="AJ206" s="9"/>
    </row>
    <row r="207" spans="1:36" ht="11.25" customHeight="1">
      <c r="A207" s="591"/>
      <c r="B207" s="9"/>
      <c r="P207" s="9"/>
      <c r="S207" s="9"/>
      <c r="T207" s="9"/>
      <c r="U207" s="9"/>
      <c r="V207" s="9"/>
      <c r="X207" s="9"/>
      <c r="Y207" s="9"/>
      <c r="Z207" s="9"/>
      <c r="AA207" s="9"/>
      <c r="AB207" s="9"/>
      <c r="AC207" s="9"/>
      <c r="AD207" s="9"/>
      <c r="AE207" s="9"/>
      <c r="AF207" s="9"/>
      <c r="AG207" s="9"/>
      <c r="AH207" s="9"/>
      <c r="AI207" s="9"/>
      <c r="AJ207" s="9"/>
    </row>
    <row r="208" spans="1:36" ht="11.25" customHeight="1">
      <c r="A208" s="591"/>
      <c r="B208" s="9"/>
      <c r="P208" s="9"/>
      <c r="S208" s="9"/>
      <c r="T208" s="9"/>
      <c r="U208" s="9"/>
      <c r="V208" s="9"/>
      <c r="X208" s="9"/>
      <c r="Y208" s="9"/>
      <c r="Z208" s="9"/>
      <c r="AA208" s="9"/>
      <c r="AB208" s="9"/>
      <c r="AC208" s="9"/>
      <c r="AD208" s="9"/>
      <c r="AE208" s="9"/>
      <c r="AF208" s="9"/>
      <c r="AG208" s="9"/>
      <c r="AH208" s="9"/>
      <c r="AI208" s="9"/>
      <c r="AJ208" s="9"/>
    </row>
    <row r="209" spans="1:36" ht="11.25" customHeight="1">
      <c r="A209" s="591"/>
      <c r="B209" s="9"/>
      <c r="P209" s="9"/>
      <c r="S209" s="9"/>
      <c r="T209" s="9"/>
      <c r="U209" s="9"/>
      <c r="V209" s="9"/>
      <c r="X209" s="9"/>
      <c r="Y209" s="9"/>
      <c r="Z209" s="9"/>
      <c r="AA209" s="9"/>
      <c r="AB209" s="9"/>
      <c r="AC209" s="9"/>
      <c r="AD209" s="9"/>
      <c r="AE209" s="9"/>
      <c r="AF209" s="9"/>
      <c r="AG209" s="9"/>
      <c r="AH209" s="9"/>
      <c r="AI209" s="9"/>
      <c r="AJ209" s="9"/>
    </row>
  </sheetData>
  <sheetProtection formatColumns="0" formatRows="0" insertRows="0" deleteColumns="0" deleteRows="0" sort="0" autoFilter="0"/>
  <mergeCells count="8">
    <mergeCell ref="F39:O39"/>
    <mergeCell ref="F40:O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N34 O32 O33 O34" xr:uid="{00000000-0002-0000-2A00-000000000000}">
      <formula1>-9.99999999999999E+37</formula1>
      <formula2>9.99999999999999E+37</formula2>
    </dataValidation>
    <dataValidation type="decimal" allowBlank="1" showErrorMessage="1" errorTitle="Ошибка" error="Допускается ввод только действительных чисел!" sqref="H30:N30 O30" xr:uid="{00000000-0002-0000-2A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N35 O35" xr:uid="{00000000-0002-0000-2A00-000002000000}">
      <formula1>900</formula1>
    </dataValidation>
    <dataValidation type="decimal" allowBlank="1" showErrorMessage="1" errorTitle="Ошибка" error="Допускается ввод только неотрицательных чисел!" sqref="H31:N31 H2:N2 H15:N15 H17:N27 H36:N37 O2 O15 O17 O18 O19 O20 O21 O22 O23 O24 O25 O26 O27 O31 O36 O37" xr:uid="{00000000-0002-0000-2A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N28 O28" xr:uid="{00000000-0002-0000-2A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86727-7B97-4151-8A3E-E0737FEB55BD}">
  <sheetPr>
    <tabColor theme="9" tint="-0.249977111117893"/>
  </sheetPr>
  <dimension ref="A1:AG101"/>
  <sheetViews>
    <sheetView showGridLines="0" topLeftCell="C2" zoomScale="90" workbookViewId="0">
      <selection activeCell="S1" sqref="S1:T1048576"/>
    </sheetView>
  </sheetViews>
  <sheetFormatPr defaultColWidth="10.5703125" defaultRowHeight="11.25" customHeight="1"/>
  <cols>
    <col min="1" max="1" width="9.140625" style="314" hidden="1" customWidth="1"/>
    <col min="2" max="2" width="3.5703125" style="65" hidden="1" customWidth="1"/>
    <col min="3" max="3" width="3.7109375" style="9" customWidth="1"/>
    <col min="4" max="4" width="7.7109375" style="9" customWidth="1"/>
    <col min="5" max="5" width="69.85546875" style="9" customWidth="1"/>
    <col min="6" max="6" width="11.140625" style="9" customWidth="1"/>
    <col min="7" max="8" width="44" style="9" hidden="1" customWidth="1"/>
    <col min="9" max="20" width="44" style="9" customWidth="1"/>
    <col min="21" max="21" width="74" style="9" customWidth="1"/>
    <col min="22" max="22" width="3.7109375" style="9" customWidth="1"/>
    <col min="23" max="33" width="10.5703125" style="9"/>
  </cols>
  <sheetData>
    <row r="1" spans="1:22" s="60" customFormat="1" ht="11.25" hidden="1" customHeight="1">
      <c r="A1" s="314"/>
      <c r="B1" s="65"/>
      <c r="G1" s="60">
        <v>4</v>
      </c>
      <c r="I1" s="60">
        <v>4</v>
      </c>
      <c r="K1" s="60">
        <v>4</v>
      </c>
      <c r="M1" s="60">
        <v>4</v>
      </c>
      <c r="O1" s="60">
        <v>4</v>
      </c>
      <c r="Q1" s="60">
        <v>4</v>
      </c>
      <c r="S1" s="60">
        <v>4</v>
      </c>
      <c r="U1" s="60">
        <v>5</v>
      </c>
    </row>
    <row r="2" spans="1:22" ht="3" customHeight="1"/>
    <row r="3" spans="1:22" ht="35.25" customHeight="1">
      <c r="D3" s="107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076"/>
      <c r="F3" s="1077"/>
    </row>
    <row r="4" spans="1:22" s="9" customFormat="1" ht="20.25" customHeight="1">
      <c r="A4" s="314"/>
      <c r="B4" s="65"/>
      <c r="D4" s="1191" t="str">
        <f>IF(org=0,"Не определено",org)</f>
        <v>ООО "Концессионная Коммунальная Компания"</v>
      </c>
      <c r="E4" s="1192"/>
      <c r="F4" s="1193"/>
    </row>
    <row r="5" spans="1:22" ht="11.25" customHeight="1">
      <c r="H5" s="442"/>
      <c r="J5" s="442"/>
      <c r="L5" s="442"/>
      <c r="N5" s="442"/>
      <c r="P5" s="442"/>
      <c r="R5" s="442"/>
      <c r="T5" s="442"/>
    </row>
    <row r="6" spans="1:22" ht="0.75" customHeight="1">
      <c r="E6" s="56"/>
      <c r="F6" s="365"/>
      <c r="G6" s="614"/>
      <c r="H6" s="614"/>
      <c r="I6" s="614" t="s">
        <v>126</v>
      </c>
      <c r="J6" s="614"/>
      <c r="K6" s="614" t="s">
        <v>133</v>
      </c>
      <c r="L6" s="614"/>
      <c r="M6" s="614" t="s">
        <v>130</v>
      </c>
      <c r="N6" s="614"/>
      <c r="O6" s="614" t="s">
        <v>131</v>
      </c>
      <c r="P6" s="614"/>
      <c r="Q6" s="614" t="s">
        <v>135</v>
      </c>
      <c r="R6" s="614"/>
      <c r="S6" s="614" t="s">
        <v>136</v>
      </c>
      <c r="T6" s="614"/>
    </row>
    <row r="7" spans="1:22" ht="11.25" customHeight="1">
      <c r="D7" s="416"/>
      <c r="E7" s="1375" t="s">
        <v>115</v>
      </c>
      <c r="F7" s="1376"/>
      <c r="G7" s="1411" t="str">
        <f>IF(G6="","",INDEX(DIFFERENTIATION_UNMERGE_VD,MATCH(G6,DIFFERENTIATION_ID_DIFF,0)))</f>
        <v/>
      </c>
      <c r="H7" s="1412"/>
      <c r="I7" s="1411" t="str">
        <f>IF(I6="","",INDEX(DIFFERENTIATION_UNMERGE_VD,MATCH(I6,DIFFERENTIATION_ID_DIFF,0)))</f>
        <v>Холодное водоснабжение. Питьевая вода</v>
      </c>
      <c r="J7" s="1412"/>
      <c r="K7" s="1411" t="str">
        <f>IF(K6="","",INDEX(DIFFERENTIATION_UNMERGE_VD,MATCH(K6,DIFFERENTIATION_ID_DIFF,0)))</f>
        <v>Холодное водоснабжение. Техническая вода</v>
      </c>
      <c r="L7" s="1412"/>
      <c r="M7" s="1411" t="str">
        <f>IF(M6="","",INDEX(DIFFERENTIATION_UNMERGE_VD,MATCH(M6,DIFFERENTIATION_ID_DIFF,0)))</f>
        <v>Холодное водоснабжение. Питьевая вода</v>
      </c>
      <c r="N7" s="1412"/>
      <c r="O7" s="1411" t="str">
        <f>IF(O6="","",INDEX(DIFFERENTIATION_UNMERGE_VD,MATCH(O6,DIFFERENTIATION_ID_DIFF,0)))</f>
        <v>Холодное водоснабжение. Питьевая вода</v>
      </c>
      <c r="P7" s="1412"/>
      <c r="Q7" s="1411" t="str">
        <f>IF(Q6="","",INDEX(DIFFERENTIATION_UNMERGE_VD,MATCH(Q6,DIFFERENTIATION_ID_DIFF,0)))</f>
        <v>Холодное водоснабжение. Техническая вода</v>
      </c>
      <c r="R7" s="1412"/>
      <c r="S7" s="1411" t="str">
        <f>IF(S6="","",INDEX(DIFFERENTIATION_UNMERGE_VD,MATCH(S6,DIFFERENTIATION_ID_DIFF,0)))</f>
        <v>Холодное водоснабжение. Техническая вода</v>
      </c>
      <c r="T7" s="1412"/>
      <c r="U7" s="1145"/>
    </row>
    <row r="8" spans="1:22" ht="11.25" customHeight="1">
      <c r="D8" s="416"/>
      <c r="E8" s="1375" t="s">
        <v>427</v>
      </c>
      <c r="F8" s="1376"/>
      <c r="G8" s="1411" t="str">
        <f>IF(G6="","",INDEX(DIFFERENTIATION_UNMERGE_AREA,MATCH(G6,DIFFERENTIATION_ID_DIFF,0)))</f>
        <v/>
      </c>
      <c r="H8" s="1412"/>
      <c r="I8" s="1411" t="str">
        <f>IF(I6="","",INDEX(DIFFERENTIATION_UNMERGE_AREA,MATCH(I6,DIFFERENTIATION_ID_DIFF,0)))</f>
        <v>Территория 1</v>
      </c>
      <c r="J8" s="1412"/>
      <c r="K8" s="1411" t="str">
        <f>IF(K6="","",INDEX(DIFFERENTIATION_UNMERGE_AREA,MATCH(K6,DIFFERENTIATION_ID_DIFF,0)))</f>
        <v>Территория 1</v>
      </c>
      <c r="L8" s="1412"/>
      <c r="M8" s="1411" t="str">
        <f>IF(M6="","",INDEX(DIFFERENTIATION_UNMERGE_AREA,MATCH(M6,DIFFERENTIATION_ID_DIFF,0)))</f>
        <v>Территория 2</v>
      </c>
      <c r="N8" s="1412"/>
      <c r="O8" s="1411" t="str">
        <f>IF(O6="","",INDEX(DIFFERENTIATION_UNMERGE_AREA,MATCH(O6,DIFFERENTIATION_ID_DIFF,0)))</f>
        <v>Территория 3</v>
      </c>
      <c r="P8" s="1412"/>
      <c r="Q8" s="1411" t="str">
        <f>IF(Q6="","",INDEX(DIFFERENTIATION_UNMERGE_AREA,MATCH(Q6,DIFFERENTIATION_ID_DIFF,0)))</f>
        <v>Территория 2</v>
      </c>
      <c r="R8" s="1412"/>
      <c r="S8" s="1411" t="str">
        <f>IF(S6="","",INDEX(DIFFERENTIATION_UNMERGE_AREA,MATCH(S6,DIFFERENTIATION_ID_DIFF,0)))</f>
        <v>Территория 3</v>
      </c>
      <c r="T8" s="1412"/>
      <c r="U8" s="1150"/>
    </row>
    <row r="9" spans="1:22" ht="11.25" customHeight="1">
      <c r="D9" s="416"/>
      <c r="E9" s="1375" t="s">
        <v>428</v>
      </c>
      <c r="F9" s="1376"/>
      <c r="G9" s="1411" t="str">
        <f>IF(G6="","",INDEX(DIFFERENTIATION_UNMERGE_SYSTEM,MATCH(G6,DIFFERENTIATION_ID_DIFF,0)))</f>
        <v/>
      </c>
      <c r="H9" s="1412"/>
      <c r="I9" s="1411" t="str">
        <f>IF(I6="","",INDEX(DIFFERENTIATION_UNMERGE_SYSTEM,MATCH(I6,DIFFERENTIATION_ID_DIFF,0)))</f>
        <v>без дифференциации</v>
      </c>
      <c r="J9" s="1412"/>
      <c r="K9" s="1411" t="str">
        <f>IF(K6="","",INDEX(DIFFERENTIATION_UNMERGE_SYSTEM,MATCH(K6,DIFFERENTIATION_ID_DIFF,0)))</f>
        <v>без дифференциации</v>
      </c>
      <c r="L9" s="1412"/>
      <c r="M9" s="1411" t="str">
        <f>IF(M6="","",INDEX(DIFFERENTIATION_UNMERGE_SYSTEM,MATCH(M6,DIFFERENTIATION_ID_DIFF,0)))</f>
        <v>без дифференциации</v>
      </c>
      <c r="N9" s="1412"/>
      <c r="O9" s="1411" t="str">
        <f>IF(O6="","",INDEX(DIFFERENTIATION_UNMERGE_SYSTEM,MATCH(O6,DIFFERENTIATION_ID_DIFF,0)))</f>
        <v>без дифференциации</v>
      </c>
      <c r="P9" s="1412"/>
      <c r="Q9" s="1411" t="str">
        <f>IF(Q6="","",INDEX(DIFFERENTIATION_UNMERGE_SYSTEM,MATCH(Q6,DIFFERENTIATION_ID_DIFF,0)))</f>
        <v>без дифференциации</v>
      </c>
      <c r="R9" s="1412"/>
      <c r="S9" s="1411" t="str">
        <f>IF(S6="","",INDEX(DIFFERENTIATION_UNMERGE_SYSTEM,MATCH(S6,DIFFERENTIATION_ID_DIFF,0)))</f>
        <v>без дифференциации</v>
      </c>
      <c r="T9" s="1412"/>
      <c r="U9" s="1150"/>
    </row>
    <row r="10" spans="1:22" s="9" customFormat="1" ht="11.25" customHeight="1">
      <c r="A10" s="314"/>
      <c r="B10" s="65"/>
      <c r="D10" s="1063" t="s">
        <v>302</v>
      </c>
      <c r="E10" s="1068"/>
      <c r="F10" s="1068"/>
      <c r="G10" s="1068"/>
      <c r="H10" s="1068"/>
      <c r="I10" s="1068"/>
      <c r="J10" s="1062"/>
      <c r="K10" s="406"/>
      <c r="L10" s="406"/>
      <c r="M10" s="406"/>
      <c r="N10" s="406"/>
      <c r="O10" s="406"/>
      <c r="P10" s="406"/>
      <c r="Q10" s="406"/>
      <c r="R10" s="406"/>
      <c r="S10" s="406"/>
      <c r="T10" s="406"/>
      <c r="U10" s="1150"/>
    </row>
    <row r="11" spans="1:22" s="9" customFormat="1" ht="22.5" customHeight="1">
      <c r="A11" s="1286"/>
      <c r="B11" s="1286"/>
      <c r="C11" s="1"/>
      <c r="D11" s="39" t="s">
        <v>88</v>
      </c>
      <c r="E11" s="39" t="s">
        <v>1825</v>
      </c>
      <c r="F11" s="39" t="s">
        <v>1623</v>
      </c>
      <c r="G11" s="39" t="s">
        <v>305</v>
      </c>
      <c r="H11" s="39" t="s">
        <v>394</v>
      </c>
      <c r="I11" s="39" t="s">
        <v>305</v>
      </c>
      <c r="J11" s="397" t="s">
        <v>394</v>
      </c>
      <c r="K11" s="39" t="s">
        <v>305</v>
      </c>
      <c r="L11" s="39" t="s">
        <v>394</v>
      </c>
      <c r="M11" s="39" t="s">
        <v>305</v>
      </c>
      <c r="N11" s="39" t="s">
        <v>394</v>
      </c>
      <c r="O11" s="39" t="s">
        <v>305</v>
      </c>
      <c r="P11" s="39" t="s">
        <v>394</v>
      </c>
      <c r="Q11" s="39" t="s">
        <v>305</v>
      </c>
      <c r="R11" s="39" t="s">
        <v>394</v>
      </c>
      <c r="S11" s="39" t="s">
        <v>305</v>
      </c>
      <c r="T11" s="39" t="s">
        <v>394</v>
      </c>
      <c r="U11" s="1200"/>
      <c r="V11" s="381"/>
    </row>
    <row r="12" spans="1:22" s="65" customFormat="1" ht="10.5" customHeight="1">
      <c r="A12" s="323"/>
      <c r="D12" s="323" t="s">
        <v>119</v>
      </c>
      <c r="E12" s="323" t="s">
        <v>103</v>
      </c>
      <c r="F12" s="323" t="s">
        <v>90</v>
      </c>
      <c r="G12" s="119" t="str">
        <f>G1&amp;".1"</f>
        <v>4.1</v>
      </c>
      <c r="H12" s="119" t="str">
        <f>G1&amp;".2"</f>
        <v>4.2</v>
      </c>
      <c r="I12" s="119" t="str">
        <f>I1&amp;".1"</f>
        <v>4.1</v>
      </c>
      <c r="J12" s="119" t="str">
        <f>I1&amp;".2"</f>
        <v>4.2</v>
      </c>
      <c r="K12" s="119" t="str">
        <f>K1&amp;".1"</f>
        <v>4.1</v>
      </c>
      <c r="L12" s="119" t="str">
        <f>K1&amp;".2"</f>
        <v>4.2</v>
      </c>
      <c r="M12" s="119" t="str">
        <f>M1&amp;".1"</f>
        <v>4.1</v>
      </c>
      <c r="N12" s="119" t="str">
        <f>M1&amp;".2"</f>
        <v>4.2</v>
      </c>
      <c r="O12" s="119" t="str">
        <f>O1&amp;".1"</f>
        <v>4.1</v>
      </c>
      <c r="P12" s="119" t="str">
        <f>O1&amp;".2"</f>
        <v>4.2</v>
      </c>
      <c r="Q12" s="119" t="str">
        <f>Q1&amp;".1"</f>
        <v>4.1</v>
      </c>
      <c r="R12" s="119" t="str">
        <f>Q1&amp;".2"</f>
        <v>4.2</v>
      </c>
      <c r="S12" s="119" t="str">
        <f>S1&amp;".1"</f>
        <v>4.1</v>
      </c>
      <c r="T12" s="119" t="str">
        <f>S1&amp;".2"</f>
        <v>4.2</v>
      </c>
      <c r="U12" s="119"/>
    </row>
    <row r="13" spans="1:22" ht="22.5" hidden="1" customHeight="1">
      <c r="A13" s="1413" t="s">
        <v>606</v>
      </c>
      <c r="D13" s="41" t="s">
        <v>119</v>
      </c>
      <c r="E13" s="150" t="s">
        <v>1624</v>
      </c>
      <c r="F13" s="382" t="s">
        <v>1625</v>
      </c>
      <c r="G13" s="331"/>
      <c r="H13" s="383"/>
      <c r="I13" s="331"/>
      <c r="J13" s="383"/>
      <c r="K13" s="331"/>
      <c r="L13" s="383"/>
      <c r="M13" s="331"/>
      <c r="N13" s="383"/>
      <c r="O13" s="331"/>
      <c r="P13" s="383"/>
      <c r="Q13" s="331"/>
      <c r="R13" s="383"/>
      <c r="S13" s="331"/>
      <c r="T13" s="383"/>
      <c r="U13" s="64" t="s">
        <v>1626</v>
      </c>
      <c r="V13" s="424"/>
    </row>
    <row r="14" spans="1:22" ht="22.5" hidden="1" customHeight="1">
      <c r="A14" s="1413"/>
      <c r="D14" s="41" t="s">
        <v>103</v>
      </c>
      <c r="E14" s="150" t="s">
        <v>1627</v>
      </c>
      <c r="F14" s="382" t="s">
        <v>1628</v>
      </c>
      <c r="G14" s="331"/>
      <c r="H14" s="383"/>
      <c r="I14" s="331"/>
      <c r="J14" s="383"/>
      <c r="K14" s="331"/>
      <c r="L14" s="383"/>
      <c r="M14" s="331"/>
      <c r="N14" s="383"/>
      <c r="O14" s="331"/>
      <c r="P14" s="383"/>
      <c r="Q14" s="331"/>
      <c r="R14" s="383"/>
      <c r="S14" s="331"/>
      <c r="T14" s="383"/>
      <c r="U14" s="64" t="s">
        <v>1629</v>
      </c>
      <c r="V14" s="424"/>
    </row>
    <row r="15" spans="1:22" s="9" customFormat="1" ht="78.75" hidden="1" customHeight="1">
      <c r="A15" s="1413"/>
      <c r="B15" s="65"/>
      <c r="D15" s="41" t="s">
        <v>90</v>
      </c>
      <c r="E15" s="150" t="s">
        <v>1632</v>
      </c>
      <c r="F15" s="39" t="s">
        <v>308</v>
      </c>
      <c r="G15" s="39" t="s">
        <v>308</v>
      </c>
      <c r="H15" s="35"/>
      <c r="I15" s="39" t="s">
        <v>308</v>
      </c>
      <c r="J15" s="35"/>
      <c r="K15" s="39" t="s">
        <v>308</v>
      </c>
      <c r="L15" s="35"/>
      <c r="M15" s="39" t="s">
        <v>308</v>
      </c>
      <c r="N15" s="35"/>
      <c r="O15" s="39" t="s">
        <v>308</v>
      </c>
      <c r="P15" s="35"/>
      <c r="Q15" s="39" t="s">
        <v>308</v>
      </c>
      <c r="R15" s="35"/>
      <c r="S15" s="39" t="s">
        <v>308</v>
      </c>
      <c r="T15" s="35"/>
      <c r="U15" s="64" t="s">
        <v>1826</v>
      </c>
      <c r="V15" s="424"/>
    </row>
    <row r="16" spans="1:22" s="9" customFormat="1" ht="22.5" hidden="1" customHeight="1">
      <c r="A16" s="1413"/>
      <c r="B16" s="65"/>
      <c r="D16" s="41" t="s">
        <v>328</v>
      </c>
      <c r="E16" s="333" t="s">
        <v>1634</v>
      </c>
      <c r="F16" s="39" t="s">
        <v>1635</v>
      </c>
      <c r="G16" s="481"/>
      <c r="H16" s="35"/>
      <c r="I16" s="481"/>
      <c r="J16" s="35"/>
      <c r="K16" s="481"/>
      <c r="L16" s="35"/>
      <c r="M16" s="481"/>
      <c r="N16" s="35"/>
      <c r="O16" s="481"/>
      <c r="P16" s="35"/>
      <c r="Q16" s="481"/>
      <c r="R16" s="35"/>
      <c r="S16" s="481"/>
      <c r="T16" s="35"/>
      <c r="U16" s="64"/>
      <c r="V16" s="424"/>
    </row>
    <row r="17" spans="1:33" s="9" customFormat="1" ht="22.5" hidden="1" customHeight="1">
      <c r="A17" s="1413"/>
      <c r="B17" s="65"/>
      <c r="D17" s="41" t="s">
        <v>336</v>
      </c>
      <c r="E17" s="333" t="s">
        <v>1636</v>
      </c>
      <c r="F17" s="39" t="s">
        <v>1637</v>
      </c>
      <c r="G17" s="481"/>
      <c r="H17" s="35"/>
      <c r="I17" s="481"/>
      <c r="J17" s="35"/>
      <c r="K17" s="481"/>
      <c r="L17" s="35"/>
      <c r="M17" s="481"/>
      <c r="N17" s="35"/>
      <c r="O17" s="481"/>
      <c r="P17" s="35"/>
      <c r="Q17" s="481"/>
      <c r="R17" s="35"/>
      <c r="S17" s="481"/>
      <c r="T17" s="35"/>
      <c r="U17" s="64"/>
      <c r="V17" s="424"/>
    </row>
    <row r="18" spans="1:33" s="9" customFormat="1" ht="33.75" hidden="1" customHeight="1">
      <c r="A18" s="1413"/>
      <c r="B18" s="65"/>
      <c r="D18" s="41" t="s">
        <v>338</v>
      </c>
      <c r="E18" s="333" t="s">
        <v>1639</v>
      </c>
      <c r="F18" s="39" t="s">
        <v>1252</v>
      </c>
      <c r="G18" s="394"/>
      <c r="H18" s="35"/>
      <c r="I18" s="394"/>
      <c r="J18" s="35"/>
      <c r="K18" s="394"/>
      <c r="L18" s="35"/>
      <c r="M18" s="394"/>
      <c r="N18" s="35"/>
      <c r="O18" s="394"/>
      <c r="P18" s="35"/>
      <c r="Q18" s="394"/>
      <c r="R18" s="35"/>
      <c r="S18" s="394"/>
      <c r="T18" s="35"/>
      <c r="U18" s="64"/>
      <c r="V18" s="424"/>
    </row>
    <row r="19" spans="1:33" ht="101.25" hidden="1" customHeight="1">
      <c r="A19" s="1413"/>
      <c r="D19" s="41" t="s">
        <v>91</v>
      </c>
      <c r="E19" s="150" t="s">
        <v>1827</v>
      </c>
      <c r="F19" s="382" t="s">
        <v>439</v>
      </c>
      <c r="G19" s="226"/>
      <c r="H19" s="383"/>
      <c r="I19" s="226"/>
      <c r="J19" s="383"/>
      <c r="K19" s="226"/>
      <c r="L19" s="383"/>
      <c r="M19" s="226"/>
      <c r="N19" s="383"/>
      <c r="O19" s="226"/>
      <c r="P19" s="383"/>
      <c r="Q19" s="226"/>
      <c r="R19" s="383"/>
      <c r="S19" s="226"/>
      <c r="T19" s="383"/>
      <c r="U19" s="64" t="s">
        <v>1828</v>
      </c>
      <c r="V19" s="424"/>
    </row>
    <row r="20" spans="1:33" s="9" customFormat="1" ht="18.75" hidden="1" customHeight="1">
      <c r="A20" s="1413"/>
      <c r="C20" s="74"/>
      <c r="D20" s="41" t="s">
        <v>1473</v>
      </c>
      <c r="E20" s="333" t="s">
        <v>1829</v>
      </c>
      <c r="F20" s="39" t="s">
        <v>308</v>
      </c>
      <c r="G20" s="39" t="s">
        <v>308</v>
      </c>
      <c r="H20" s="349" t="s">
        <v>308</v>
      </c>
      <c r="I20" s="39" t="s">
        <v>308</v>
      </c>
      <c r="J20" s="349" t="s">
        <v>308</v>
      </c>
      <c r="K20" s="39" t="s">
        <v>308</v>
      </c>
      <c r="L20" s="349" t="s">
        <v>308</v>
      </c>
      <c r="M20" s="39" t="s">
        <v>308</v>
      </c>
      <c r="N20" s="349" t="s">
        <v>308</v>
      </c>
      <c r="O20" s="39" t="s">
        <v>308</v>
      </c>
      <c r="P20" s="349" t="s">
        <v>308</v>
      </c>
      <c r="Q20" s="39" t="s">
        <v>308</v>
      </c>
      <c r="R20" s="349" t="s">
        <v>308</v>
      </c>
      <c r="S20" s="39" t="s">
        <v>308</v>
      </c>
      <c r="T20" s="349" t="s">
        <v>308</v>
      </c>
      <c r="U20" s="397"/>
      <c r="V20" s="424"/>
      <c r="AG20" s="313"/>
    </row>
    <row r="21" spans="1:33" s="9" customFormat="1" ht="33.75" hidden="1" customHeight="1">
      <c r="A21" s="1413"/>
      <c r="C21" s="74"/>
      <c r="D21" s="41" t="s">
        <v>1481</v>
      </c>
      <c r="E21" s="347" t="s">
        <v>1830</v>
      </c>
      <c r="F21" s="39" t="s">
        <v>1831</v>
      </c>
      <c r="G21" s="558"/>
      <c r="H21" s="35"/>
      <c r="I21" s="558"/>
      <c r="J21" s="35"/>
      <c r="K21" s="558"/>
      <c r="L21" s="35"/>
      <c r="M21" s="558"/>
      <c r="N21" s="35"/>
      <c r="O21" s="558"/>
      <c r="P21" s="35"/>
      <c r="Q21" s="558"/>
      <c r="R21" s="35"/>
      <c r="S21" s="558"/>
      <c r="T21" s="35"/>
      <c r="U21" s="397"/>
      <c r="V21" s="424"/>
      <c r="AG21" s="313"/>
    </row>
    <row r="22" spans="1:33" s="9" customFormat="1" ht="33.75" hidden="1" customHeight="1">
      <c r="A22" s="1413"/>
      <c r="C22" s="74"/>
      <c r="D22" s="41" t="s">
        <v>1486</v>
      </c>
      <c r="E22" s="347" t="s">
        <v>1832</v>
      </c>
      <c r="F22" s="39" t="s">
        <v>1833</v>
      </c>
      <c r="G22" s="558"/>
      <c r="H22" s="35"/>
      <c r="I22" s="558"/>
      <c r="J22" s="35"/>
      <c r="K22" s="558"/>
      <c r="L22" s="35"/>
      <c r="M22" s="558"/>
      <c r="N22" s="35"/>
      <c r="O22" s="558"/>
      <c r="P22" s="35"/>
      <c r="Q22" s="558"/>
      <c r="R22" s="35"/>
      <c r="S22" s="558"/>
      <c r="T22" s="35"/>
      <c r="U22" s="397"/>
      <c r="V22" s="424"/>
      <c r="AG22" s="313"/>
    </row>
    <row r="23" spans="1:33" s="9" customFormat="1" ht="22.5" hidden="1" customHeight="1">
      <c r="A23" s="1413"/>
      <c r="C23" s="74"/>
      <c r="D23" s="41" t="s">
        <v>1490</v>
      </c>
      <c r="E23" s="333" t="s">
        <v>1834</v>
      </c>
      <c r="F23" s="39" t="s">
        <v>308</v>
      </c>
      <c r="G23" s="39" t="s">
        <v>308</v>
      </c>
      <c r="H23" s="349" t="s">
        <v>308</v>
      </c>
      <c r="I23" s="39" t="s">
        <v>308</v>
      </c>
      <c r="J23" s="349" t="s">
        <v>308</v>
      </c>
      <c r="K23" s="39" t="s">
        <v>308</v>
      </c>
      <c r="L23" s="349" t="s">
        <v>308</v>
      </c>
      <c r="M23" s="39" t="s">
        <v>308</v>
      </c>
      <c r="N23" s="349" t="s">
        <v>308</v>
      </c>
      <c r="O23" s="39" t="s">
        <v>308</v>
      </c>
      <c r="P23" s="349" t="s">
        <v>308</v>
      </c>
      <c r="Q23" s="39" t="s">
        <v>308</v>
      </c>
      <c r="R23" s="349" t="s">
        <v>308</v>
      </c>
      <c r="S23" s="39" t="s">
        <v>308</v>
      </c>
      <c r="T23" s="349" t="s">
        <v>308</v>
      </c>
      <c r="U23" s="397"/>
      <c r="V23" s="424"/>
      <c r="AG23" s="313"/>
    </row>
    <row r="24" spans="1:33" s="9" customFormat="1" ht="22.5" hidden="1" customHeight="1">
      <c r="A24" s="1413"/>
      <c r="C24" s="74"/>
      <c r="D24" s="41" t="s">
        <v>1835</v>
      </c>
      <c r="E24" s="347" t="s">
        <v>1836</v>
      </c>
      <c r="F24" s="39" t="s">
        <v>1837</v>
      </c>
      <c r="G24" s="558"/>
      <c r="H24" s="399"/>
      <c r="I24" s="558"/>
      <c r="J24" s="399"/>
      <c r="K24" s="558"/>
      <c r="L24" s="399"/>
      <c r="M24" s="558"/>
      <c r="N24" s="399"/>
      <c r="O24" s="558"/>
      <c r="P24" s="399"/>
      <c r="Q24" s="558"/>
      <c r="R24" s="399"/>
      <c r="S24" s="558"/>
      <c r="T24" s="399"/>
      <c r="U24" s="397"/>
      <c r="V24" s="424"/>
      <c r="AG24" s="313"/>
    </row>
    <row r="25" spans="1:33" s="9" customFormat="1" ht="22.5" hidden="1" customHeight="1">
      <c r="A25" s="1413"/>
      <c r="C25" s="74"/>
      <c r="D25" s="41" t="s">
        <v>1838</v>
      </c>
      <c r="E25" s="347" t="s">
        <v>1839</v>
      </c>
      <c r="F25" s="39" t="s">
        <v>308</v>
      </c>
      <c r="G25" s="39" t="s">
        <v>308</v>
      </c>
      <c r="H25" s="349" t="s">
        <v>308</v>
      </c>
      <c r="I25" s="39" t="s">
        <v>308</v>
      </c>
      <c r="J25" s="349" t="s">
        <v>308</v>
      </c>
      <c r="K25" s="39" t="s">
        <v>308</v>
      </c>
      <c r="L25" s="349" t="s">
        <v>308</v>
      </c>
      <c r="M25" s="39" t="s">
        <v>308</v>
      </c>
      <c r="N25" s="349" t="s">
        <v>308</v>
      </c>
      <c r="O25" s="39" t="s">
        <v>308</v>
      </c>
      <c r="P25" s="349" t="s">
        <v>308</v>
      </c>
      <c r="Q25" s="39" t="s">
        <v>308</v>
      </c>
      <c r="R25" s="349" t="s">
        <v>308</v>
      </c>
      <c r="S25" s="39" t="s">
        <v>308</v>
      </c>
      <c r="T25" s="349" t="s">
        <v>308</v>
      </c>
      <c r="U25" s="397"/>
      <c r="V25" s="424"/>
      <c r="AG25" s="313"/>
    </row>
    <row r="26" spans="1:33" s="9" customFormat="1" ht="18.75" hidden="1" customHeight="1">
      <c r="A26" s="1413"/>
      <c r="C26" s="74"/>
      <c r="D26" s="41" t="s">
        <v>1840</v>
      </c>
      <c r="E26" s="328" t="s">
        <v>1841</v>
      </c>
      <c r="F26" s="39" t="s">
        <v>1842</v>
      </c>
      <c r="G26" s="394"/>
      <c r="H26" s="399"/>
      <c r="I26" s="394"/>
      <c r="J26" s="399"/>
      <c r="K26" s="394"/>
      <c r="L26" s="399"/>
      <c r="M26" s="394"/>
      <c r="N26" s="399"/>
      <c r="O26" s="394"/>
      <c r="P26" s="399"/>
      <c r="Q26" s="394"/>
      <c r="R26" s="399"/>
      <c r="S26" s="394"/>
      <c r="T26" s="399"/>
      <c r="U26" s="397"/>
      <c r="V26" s="424"/>
      <c r="AG26" s="313"/>
    </row>
    <row r="27" spans="1:33" s="9" customFormat="1" ht="18.75" hidden="1" customHeight="1">
      <c r="A27" s="1413"/>
      <c r="C27" s="74"/>
      <c r="D27" s="41" t="s">
        <v>1843</v>
      </c>
      <c r="E27" s="328" t="s">
        <v>1844</v>
      </c>
      <c r="F27" s="39" t="s">
        <v>1845</v>
      </c>
      <c r="G27" s="394"/>
      <c r="H27" s="399"/>
      <c r="I27" s="394"/>
      <c r="J27" s="399"/>
      <c r="K27" s="394"/>
      <c r="L27" s="399"/>
      <c r="M27" s="394"/>
      <c r="N27" s="399"/>
      <c r="O27" s="394"/>
      <c r="P27" s="399"/>
      <c r="Q27" s="394"/>
      <c r="R27" s="399"/>
      <c r="S27" s="394"/>
      <c r="T27" s="399"/>
      <c r="U27" s="397"/>
      <c r="V27" s="424"/>
      <c r="AG27" s="313"/>
    </row>
    <row r="28" spans="1:33" s="9" customFormat="1" ht="18.75" hidden="1" customHeight="1">
      <c r="A28" s="1413"/>
      <c r="C28" s="74"/>
      <c r="D28" s="41" t="s">
        <v>1846</v>
      </c>
      <c r="E28" s="347" t="s">
        <v>1847</v>
      </c>
      <c r="F28" s="39" t="s">
        <v>308</v>
      </c>
      <c r="G28" s="39" t="s">
        <v>308</v>
      </c>
      <c r="H28" s="349" t="s">
        <v>308</v>
      </c>
      <c r="I28" s="39" t="s">
        <v>308</v>
      </c>
      <c r="J28" s="349" t="s">
        <v>308</v>
      </c>
      <c r="K28" s="39" t="s">
        <v>308</v>
      </c>
      <c r="L28" s="349" t="s">
        <v>308</v>
      </c>
      <c r="M28" s="39" t="s">
        <v>308</v>
      </c>
      <c r="N28" s="349" t="s">
        <v>308</v>
      </c>
      <c r="O28" s="39" t="s">
        <v>308</v>
      </c>
      <c r="P28" s="349" t="s">
        <v>308</v>
      </c>
      <c r="Q28" s="39" t="s">
        <v>308</v>
      </c>
      <c r="R28" s="349" t="s">
        <v>308</v>
      </c>
      <c r="S28" s="39" t="s">
        <v>308</v>
      </c>
      <c r="T28" s="349" t="s">
        <v>308</v>
      </c>
      <c r="U28" s="397"/>
      <c r="V28" s="424"/>
      <c r="AG28" s="313"/>
    </row>
    <row r="29" spans="1:33" s="9" customFormat="1" ht="18.75" hidden="1" customHeight="1">
      <c r="A29" s="1413"/>
      <c r="C29" s="74"/>
      <c r="D29" s="41" t="s">
        <v>1848</v>
      </c>
      <c r="E29" s="328" t="s">
        <v>1841</v>
      </c>
      <c r="F29" s="39" t="s">
        <v>1849</v>
      </c>
      <c r="G29" s="394"/>
      <c r="H29" s="399"/>
      <c r="I29" s="394"/>
      <c r="J29" s="399"/>
      <c r="K29" s="394"/>
      <c r="L29" s="399"/>
      <c r="M29" s="394"/>
      <c r="N29" s="399"/>
      <c r="O29" s="394"/>
      <c r="P29" s="399"/>
      <c r="Q29" s="394"/>
      <c r="R29" s="399"/>
      <c r="S29" s="394"/>
      <c r="T29" s="399"/>
      <c r="U29" s="397"/>
      <c r="V29" s="424"/>
      <c r="AG29" s="313"/>
    </row>
    <row r="30" spans="1:33" s="9" customFormat="1" ht="18.75" hidden="1" customHeight="1">
      <c r="A30" s="1413"/>
      <c r="C30" s="74"/>
      <c r="D30" s="41" t="s">
        <v>1850</v>
      </c>
      <c r="E30" s="328" t="s">
        <v>1851</v>
      </c>
      <c r="F30" s="39" t="s">
        <v>1852</v>
      </c>
      <c r="G30" s="394"/>
      <c r="H30" s="399"/>
      <c r="I30" s="394"/>
      <c r="J30" s="399"/>
      <c r="K30" s="394"/>
      <c r="L30" s="399"/>
      <c r="M30" s="394"/>
      <c r="N30" s="399"/>
      <c r="O30" s="394"/>
      <c r="P30" s="399"/>
      <c r="Q30" s="394"/>
      <c r="R30" s="399"/>
      <c r="S30" s="394"/>
      <c r="T30" s="399"/>
      <c r="U30" s="397"/>
      <c r="V30" s="424"/>
      <c r="AG30" s="313"/>
    </row>
    <row r="31" spans="1:33" ht="126.75" hidden="1" customHeight="1">
      <c r="A31" s="1413"/>
      <c r="D31" s="41" t="s">
        <v>120</v>
      </c>
      <c r="E31" s="150" t="s">
        <v>1853</v>
      </c>
      <c r="F31" s="382" t="s">
        <v>1641</v>
      </c>
      <c r="G31" s="331"/>
      <c r="H31" s="383"/>
      <c r="I31" s="331"/>
      <c r="J31" s="383"/>
      <c r="K31" s="331"/>
      <c r="L31" s="383"/>
      <c r="M31" s="331"/>
      <c r="N31" s="383"/>
      <c r="O31" s="331"/>
      <c r="P31" s="383"/>
      <c r="Q31" s="331"/>
      <c r="R31" s="383"/>
      <c r="S31" s="331"/>
      <c r="T31" s="383"/>
      <c r="U31" s="64" t="s">
        <v>1854</v>
      </c>
      <c r="V31" s="424"/>
    </row>
    <row r="32" spans="1:33" ht="56.25" hidden="1" customHeight="1">
      <c r="A32" s="1413"/>
      <c r="D32" s="41" t="s">
        <v>92</v>
      </c>
      <c r="E32" s="150" t="s">
        <v>1855</v>
      </c>
      <c r="F32" s="41" t="s">
        <v>1637</v>
      </c>
      <c r="G32" s="331"/>
      <c r="H32" s="383"/>
      <c r="I32" s="331"/>
      <c r="J32" s="383"/>
      <c r="K32" s="331"/>
      <c r="L32" s="383"/>
      <c r="M32" s="331"/>
      <c r="N32" s="383"/>
      <c r="O32" s="331"/>
      <c r="P32" s="383"/>
      <c r="Q32" s="331"/>
      <c r="R32" s="383"/>
      <c r="S32" s="331"/>
      <c r="T32" s="383"/>
      <c r="U32" s="64" t="s">
        <v>1856</v>
      </c>
      <c r="V32" s="424"/>
    </row>
    <row r="33" spans="1:21" ht="11.25" hidden="1" customHeight="1">
      <c r="A33" s="1413"/>
      <c r="E33" s="384"/>
      <c r="F33" s="89"/>
      <c r="G33" s="89"/>
      <c r="H33" s="89"/>
      <c r="I33" s="89"/>
      <c r="J33" s="89"/>
      <c r="K33" s="89"/>
      <c r="L33" s="89"/>
      <c r="M33" s="89"/>
      <c r="N33" s="89"/>
      <c r="O33" s="89"/>
      <c r="P33" s="89"/>
      <c r="Q33" s="89"/>
      <c r="R33" s="89"/>
      <c r="S33" s="89"/>
      <c r="T33" s="89"/>
      <c r="U33" s="89"/>
    </row>
    <row r="34" spans="1:21" ht="12.75" hidden="1" customHeight="1">
      <c r="A34" s="1413"/>
      <c r="D34" s="1">
        <v>1</v>
      </c>
      <c r="E34" s="203" t="s">
        <v>1857</v>
      </c>
    </row>
    <row r="35" spans="1:21" ht="11.25" hidden="1" customHeight="1">
      <c r="A35" s="1413"/>
      <c r="D35" s="1"/>
      <c r="E35" s="203" t="s">
        <v>1858</v>
      </c>
    </row>
    <row r="36" spans="1:21" s="9" customFormat="1" ht="11.25" customHeight="1">
      <c r="A36" s="314"/>
      <c r="B36" s="65"/>
      <c r="D36" s="1"/>
      <c r="E36" s="203"/>
    </row>
    <row r="37" spans="1:21" s="9" customFormat="1" ht="22.5" customHeight="1">
      <c r="A37" s="1413" t="s">
        <v>994</v>
      </c>
      <c r="B37" s="65"/>
      <c r="D37" s="41">
        <v>1</v>
      </c>
      <c r="E37" s="150" t="s">
        <v>1859</v>
      </c>
      <c r="F37" s="382" t="s">
        <v>1625</v>
      </c>
      <c r="G37" s="331"/>
      <c r="H37" s="306"/>
      <c r="I37" s="331"/>
      <c r="J37" s="306"/>
      <c r="K37" s="331"/>
      <c r="L37" s="306"/>
      <c r="M37" s="331"/>
      <c r="N37" s="306"/>
      <c r="O37" s="331"/>
      <c r="P37" s="306"/>
      <c r="Q37" s="331"/>
      <c r="R37" s="306"/>
      <c r="S37" s="331"/>
      <c r="T37" s="306"/>
      <c r="U37" s="64" t="s">
        <v>1860</v>
      </c>
    </row>
    <row r="38" spans="1:21" s="9" customFormat="1" ht="22.5" customHeight="1">
      <c r="A38" s="1413"/>
      <c r="B38" s="65"/>
      <c r="D38" s="389" t="s">
        <v>103</v>
      </c>
      <c r="E38" s="622" t="s">
        <v>1861</v>
      </c>
      <c r="F38" s="623" t="s">
        <v>439</v>
      </c>
      <c r="G38" s="623" t="s">
        <v>439</v>
      </c>
      <c r="H38" s="620"/>
      <c r="I38" s="623" t="s">
        <v>439</v>
      </c>
      <c r="J38" s="620"/>
      <c r="K38" s="623" t="s">
        <v>439</v>
      </c>
      <c r="L38" s="620"/>
      <c r="M38" s="623" t="s">
        <v>439</v>
      </c>
      <c r="N38" s="620"/>
      <c r="O38" s="623" t="s">
        <v>439</v>
      </c>
      <c r="P38" s="620"/>
      <c r="Q38" s="623" t="s">
        <v>439</v>
      </c>
      <c r="R38" s="620"/>
      <c r="S38" s="623" t="s">
        <v>439</v>
      </c>
      <c r="T38" s="620"/>
      <c r="U38" s="621"/>
    </row>
    <row r="39" spans="1:21" s="9" customFormat="1" ht="33.75" customHeight="1">
      <c r="A39" s="1413"/>
      <c r="B39" s="65"/>
      <c r="D39" s="385" t="s">
        <v>467</v>
      </c>
      <c r="E39" s="427" t="s">
        <v>1862</v>
      </c>
      <c r="F39" s="382" t="s">
        <v>1863</v>
      </c>
      <c r="G39" s="388"/>
      <c r="H39" s="615"/>
      <c r="I39" s="388"/>
      <c r="J39" s="615"/>
      <c r="K39" s="388"/>
      <c r="L39" s="615"/>
      <c r="M39" s="388"/>
      <c r="N39" s="615"/>
      <c r="O39" s="388"/>
      <c r="P39" s="615"/>
      <c r="Q39" s="388"/>
      <c r="R39" s="615"/>
      <c r="S39" s="388"/>
      <c r="T39" s="615"/>
      <c r="U39" s="64" t="s">
        <v>1864</v>
      </c>
    </row>
    <row r="40" spans="1:21" s="9" customFormat="1" ht="33.75" customHeight="1">
      <c r="A40" s="1413"/>
      <c r="B40" s="65"/>
      <c r="D40" s="385" t="s">
        <v>1775</v>
      </c>
      <c r="E40" s="427" t="s">
        <v>1865</v>
      </c>
      <c r="F40" s="617" t="s">
        <v>1866</v>
      </c>
      <c r="G40" s="436"/>
      <c r="H40" s="615"/>
      <c r="I40" s="436"/>
      <c r="J40" s="615"/>
      <c r="K40" s="436"/>
      <c r="L40" s="615"/>
      <c r="M40" s="436"/>
      <c r="N40" s="615"/>
      <c r="O40" s="436"/>
      <c r="P40" s="615"/>
      <c r="Q40" s="436"/>
      <c r="R40" s="615"/>
      <c r="S40" s="436"/>
      <c r="T40" s="615"/>
      <c r="U40" s="64" t="s">
        <v>1867</v>
      </c>
    </row>
    <row r="41" spans="1:21" s="9" customFormat="1" ht="22.5" customHeight="1">
      <c r="A41" s="1413"/>
      <c r="B41" s="65"/>
      <c r="D41" s="385" t="s">
        <v>90</v>
      </c>
      <c r="E41" s="426" t="s">
        <v>1868</v>
      </c>
      <c r="F41" s="382" t="s">
        <v>439</v>
      </c>
      <c r="G41" s="382" t="s">
        <v>439</v>
      </c>
      <c r="H41" s="616"/>
      <c r="I41" s="382" t="s">
        <v>439</v>
      </c>
      <c r="J41" s="616"/>
      <c r="K41" s="382" t="s">
        <v>439</v>
      </c>
      <c r="L41" s="616"/>
      <c r="M41" s="382" t="s">
        <v>439</v>
      </c>
      <c r="N41" s="616"/>
      <c r="O41" s="382" t="s">
        <v>439</v>
      </c>
      <c r="P41" s="616"/>
      <c r="Q41" s="382" t="s">
        <v>439</v>
      </c>
      <c r="R41" s="616"/>
      <c r="S41" s="382" t="s">
        <v>439</v>
      </c>
      <c r="T41" s="616"/>
      <c r="U41" s="172"/>
    </row>
    <row r="42" spans="1:21" s="9" customFormat="1" ht="45" customHeight="1">
      <c r="A42" s="1413"/>
      <c r="B42" s="65"/>
      <c r="D42" s="385" t="s">
        <v>328</v>
      </c>
      <c r="E42" s="427" t="s">
        <v>1869</v>
      </c>
      <c r="F42" s="382" t="s">
        <v>1641</v>
      </c>
      <c r="G42" s="331"/>
      <c r="H42" s="616"/>
      <c r="I42" s="331"/>
      <c r="J42" s="616"/>
      <c r="K42" s="331"/>
      <c r="L42" s="616"/>
      <c r="M42" s="331"/>
      <c r="N42" s="616"/>
      <c r="O42" s="331"/>
      <c r="P42" s="616"/>
      <c r="Q42" s="331"/>
      <c r="R42" s="616"/>
      <c r="S42" s="331"/>
      <c r="T42" s="616"/>
      <c r="U42" s="172" t="s">
        <v>1870</v>
      </c>
    </row>
    <row r="43" spans="1:21" s="9" customFormat="1" ht="45" customHeight="1">
      <c r="A43" s="1413"/>
      <c r="B43" s="65"/>
      <c r="D43" s="385" t="s">
        <v>336</v>
      </c>
      <c r="E43" s="387" t="s">
        <v>1871</v>
      </c>
      <c r="F43" s="618" t="s">
        <v>1641</v>
      </c>
      <c r="G43" s="437"/>
      <c r="H43" s="615"/>
      <c r="I43" s="437"/>
      <c r="J43" s="615"/>
      <c r="K43" s="437"/>
      <c r="L43" s="615"/>
      <c r="M43" s="437"/>
      <c r="N43" s="615"/>
      <c r="O43" s="437"/>
      <c r="P43" s="615"/>
      <c r="Q43" s="437"/>
      <c r="R43" s="615"/>
      <c r="S43" s="437"/>
      <c r="T43" s="615"/>
      <c r="U43" s="172" t="s">
        <v>1872</v>
      </c>
    </row>
    <row r="44" spans="1:21" s="9" customFormat="1" ht="11.25" customHeight="1">
      <c r="A44" s="1413"/>
      <c r="B44" s="65"/>
      <c r="D44" s="385" t="s">
        <v>91</v>
      </c>
      <c r="E44" s="386" t="s">
        <v>1873</v>
      </c>
      <c r="F44" s="382" t="s">
        <v>1863</v>
      </c>
      <c r="G44" s="388"/>
      <c r="H44" s="615"/>
      <c r="I44" s="388"/>
      <c r="J44" s="615"/>
      <c r="K44" s="388"/>
      <c r="L44" s="615"/>
      <c r="M44" s="388"/>
      <c r="N44" s="615"/>
      <c r="O44" s="388"/>
      <c r="P44" s="615"/>
      <c r="Q44" s="388"/>
      <c r="R44" s="615"/>
      <c r="S44" s="388"/>
      <c r="T44" s="615"/>
      <c r="U44" s="64"/>
    </row>
    <row r="45" spans="1:21" s="9" customFormat="1" ht="11.25" customHeight="1">
      <c r="A45" s="1413"/>
      <c r="B45" s="65"/>
      <c r="D45" s="385" t="s">
        <v>1473</v>
      </c>
      <c r="E45" s="387" t="s">
        <v>1874</v>
      </c>
      <c r="F45" s="382" t="s">
        <v>1863</v>
      </c>
      <c r="G45" s="388"/>
      <c r="H45" s="615"/>
      <c r="I45" s="388"/>
      <c r="J45" s="615"/>
      <c r="K45" s="388"/>
      <c r="L45" s="615"/>
      <c r="M45" s="388"/>
      <c r="N45" s="615"/>
      <c r="O45" s="388"/>
      <c r="P45" s="615"/>
      <c r="Q45" s="388"/>
      <c r="R45" s="615"/>
      <c r="S45" s="388"/>
      <c r="T45" s="615"/>
      <c r="U45" s="64"/>
    </row>
    <row r="46" spans="1:21" s="9" customFormat="1" ht="11.25" customHeight="1">
      <c r="A46" s="1413"/>
      <c r="B46" s="65"/>
      <c r="D46" s="385" t="s">
        <v>1490</v>
      </c>
      <c r="E46" s="387" t="s">
        <v>1875</v>
      </c>
      <c r="F46" s="382" t="s">
        <v>1863</v>
      </c>
      <c r="G46" s="388"/>
      <c r="H46" s="615"/>
      <c r="I46" s="388"/>
      <c r="J46" s="615"/>
      <c r="K46" s="388"/>
      <c r="L46" s="615"/>
      <c r="M46" s="388"/>
      <c r="N46" s="615"/>
      <c r="O46" s="388"/>
      <c r="P46" s="615"/>
      <c r="Q46" s="388"/>
      <c r="R46" s="615"/>
      <c r="S46" s="388"/>
      <c r="T46" s="615"/>
      <c r="U46" s="64"/>
    </row>
    <row r="47" spans="1:21" s="9" customFormat="1" ht="11.25" customHeight="1">
      <c r="A47" s="1413"/>
      <c r="B47" s="65"/>
      <c r="D47" s="385" t="s">
        <v>1638</v>
      </c>
      <c r="E47" s="387" t="s">
        <v>1876</v>
      </c>
      <c r="F47" s="382" t="s">
        <v>1863</v>
      </c>
      <c r="G47" s="388"/>
      <c r="H47" s="615"/>
      <c r="I47" s="388"/>
      <c r="J47" s="615"/>
      <c r="K47" s="388"/>
      <c r="L47" s="615"/>
      <c r="M47" s="388"/>
      <c r="N47" s="615"/>
      <c r="O47" s="388"/>
      <c r="P47" s="615"/>
      <c r="Q47" s="388"/>
      <c r="R47" s="615"/>
      <c r="S47" s="388"/>
      <c r="T47" s="615"/>
      <c r="U47" s="64"/>
    </row>
    <row r="48" spans="1:21" s="9" customFormat="1" ht="11.25" customHeight="1">
      <c r="A48" s="1413"/>
      <c r="B48" s="65"/>
      <c r="D48" s="385" t="s">
        <v>1877</v>
      </c>
      <c r="E48" s="390" t="s">
        <v>1878</v>
      </c>
      <c r="F48" s="382" t="s">
        <v>1863</v>
      </c>
      <c r="G48" s="388"/>
      <c r="H48" s="615"/>
      <c r="I48" s="388"/>
      <c r="J48" s="615"/>
      <c r="K48" s="388"/>
      <c r="L48" s="615"/>
      <c r="M48" s="388"/>
      <c r="N48" s="615"/>
      <c r="O48" s="388"/>
      <c r="P48" s="615"/>
      <c r="Q48" s="388"/>
      <c r="R48" s="615"/>
      <c r="S48" s="388"/>
      <c r="T48" s="615"/>
      <c r="U48" s="64"/>
    </row>
    <row r="49" spans="1:21" s="9" customFormat="1" ht="11.25" customHeight="1">
      <c r="A49" s="1413"/>
      <c r="B49" s="65"/>
      <c r="D49" s="385" t="s">
        <v>1879</v>
      </c>
      <c r="E49" s="390" t="s">
        <v>1880</v>
      </c>
      <c r="F49" s="382" t="s">
        <v>1863</v>
      </c>
      <c r="G49" s="388"/>
      <c r="H49" s="615"/>
      <c r="I49" s="388"/>
      <c r="J49" s="615"/>
      <c r="K49" s="388"/>
      <c r="L49" s="615"/>
      <c r="M49" s="388"/>
      <c r="N49" s="615"/>
      <c r="O49" s="388"/>
      <c r="P49" s="615"/>
      <c r="Q49" s="388"/>
      <c r="R49" s="615"/>
      <c r="S49" s="388"/>
      <c r="T49" s="615"/>
      <c r="U49" s="64"/>
    </row>
    <row r="50" spans="1:21" s="9" customFormat="1" ht="11.25" customHeight="1">
      <c r="A50" s="1413"/>
      <c r="B50" s="65"/>
      <c r="D50" s="385" t="s">
        <v>1881</v>
      </c>
      <c r="E50" s="387" t="s">
        <v>1882</v>
      </c>
      <c r="F50" s="382" t="s">
        <v>1863</v>
      </c>
      <c r="G50" s="388"/>
      <c r="H50" s="615"/>
      <c r="I50" s="388"/>
      <c r="J50" s="615"/>
      <c r="K50" s="388"/>
      <c r="L50" s="615"/>
      <c r="M50" s="388"/>
      <c r="N50" s="615"/>
      <c r="O50" s="388"/>
      <c r="P50" s="615"/>
      <c r="Q50" s="388"/>
      <c r="R50" s="615"/>
      <c r="S50" s="388"/>
      <c r="T50" s="615"/>
      <c r="U50" s="64"/>
    </row>
    <row r="51" spans="1:21" s="9" customFormat="1" ht="11.25" customHeight="1">
      <c r="A51" s="1413"/>
      <c r="B51" s="65"/>
      <c r="D51" s="385" t="s">
        <v>1883</v>
      </c>
      <c r="E51" s="387" t="s">
        <v>1884</v>
      </c>
      <c r="F51" s="382" t="s">
        <v>1863</v>
      </c>
      <c r="G51" s="388"/>
      <c r="H51" s="615"/>
      <c r="I51" s="388"/>
      <c r="J51" s="615"/>
      <c r="K51" s="388"/>
      <c r="L51" s="615"/>
      <c r="M51" s="388"/>
      <c r="N51" s="615"/>
      <c r="O51" s="388"/>
      <c r="P51" s="615"/>
      <c r="Q51" s="388"/>
      <c r="R51" s="615"/>
      <c r="S51" s="388"/>
      <c r="T51" s="615"/>
      <c r="U51" s="64"/>
    </row>
    <row r="52" spans="1:21" s="9" customFormat="1" ht="45" customHeight="1">
      <c r="A52" s="1413"/>
      <c r="B52" s="65"/>
      <c r="D52" s="385" t="s">
        <v>120</v>
      </c>
      <c r="E52" s="386" t="s">
        <v>1885</v>
      </c>
      <c r="F52" s="382" t="s">
        <v>1863</v>
      </c>
      <c r="G52" s="388"/>
      <c r="H52" s="615"/>
      <c r="I52" s="388"/>
      <c r="J52" s="615"/>
      <c r="K52" s="388"/>
      <c r="L52" s="615"/>
      <c r="M52" s="388"/>
      <c r="N52" s="615"/>
      <c r="O52" s="388"/>
      <c r="P52" s="615"/>
      <c r="Q52" s="388"/>
      <c r="R52" s="615"/>
      <c r="S52" s="388"/>
      <c r="T52" s="615"/>
      <c r="U52" s="64"/>
    </row>
    <row r="53" spans="1:21" s="9" customFormat="1" ht="11.25" customHeight="1">
      <c r="A53" s="1413"/>
      <c r="B53" s="65"/>
      <c r="D53" s="385" t="s">
        <v>317</v>
      </c>
      <c r="E53" s="387" t="s">
        <v>1874</v>
      </c>
      <c r="F53" s="382" t="s">
        <v>1863</v>
      </c>
      <c r="G53" s="388"/>
      <c r="H53" s="615"/>
      <c r="I53" s="388"/>
      <c r="J53" s="615"/>
      <c r="K53" s="388"/>
      <c r="L53" s="615"/>
      <c r="M53" s="388"/>
      <c r="N53" s="615"/>
      <c r="O53" s="388"/>
      <c r="P53" s="615"/>
      <c r="Q53" s="388"/>
      <c r="R53" s="615"/>
      <c r="S53" s="388"/>
      <c r="T53" s="615"/>
      <c r="U53" s="64"/>
    </row>
    <row r="54" spans="1:21" s="9" customFormat="1" ht="11.25" customHeight="1">
      <c r="A54" s="1413"/>
      <c r="B54" s="65"/>
      <c r="D54" s="385" t="s">
        <v>319</v>
      </c>
      <c r="E54" s="387" t="s">
        <v>1875</v>
      </c>
      <c r="F54" s="382" t="s">
        <v>1863</v>
      </c>
      <c r="G54" s="388"/>
      <c r="H54" s="615"/>
      <c r="I54" s="388"/>
      <c r="J54" s="615"/>
      <c r="K54" s="388"/>
      <c r="L54" s="615"/>
      <c r="M54" s="388"/>
      <c r="N54" s="615"/>
      <c r="O54" s="388"/>
      <c r="P54" s="615"/>
      <c r="Q54" s="388"/>
      <c r="R54" s="615"/>
      <c r="S54" s="388"/>
      <c r="T54" s="615"/>
      <c r="U54" s="64"/>
    </row>
    <row r="55" spans="1:21" s="9" customFormat="1" ht="11.25" customHeight="1">
      <c r="A55" s="1413"/>
      <c r="B55" s="65"/>
      <c r="D55" s="385" t="s">
        <v>322</v>
      </c>
      <c r="E55" s="387" t="s">
        <v>1876</v>
      </c>
      <c r="F55" s="382" t="s">
        <v>1863</v>
      </c>
      <c r="G55" s="388"/>
      <c r="H55" s="615"/>
      <c r="I55" s="388"/>
      <c r="J55" s="615"/>
      <c r="K55" s="388"/>
      <c r="L55" s="615"/>
      <c r="M55" s="388"/>
      <c r="N55" s="615"/>
      <c r="O55" s="388"/>
      <c r="P55" s="615"/>
      <c r="Q55" s="388"/>
      <c r="R55" s="615"/>
      <c r="S55" s="388"/>
      <c r="T55" s="615"/>
      <c r="U55" s="64"/>
    </row>
    <row r="56" spans="1:21" s="9" customFormat="1" ht="11.25" customHeight="1">
      <c r="A56" s="1413"/>
      <c r="B56" s="65"/>
      <c r="D56" s="385" t="s">
        <v>1618</v>
      </c>
      <c r="E56" s="390" t="s">
        <v>1878</v>
      </c>
      <c r="F56" s="382" t="s">
        <v>1863</v>
      </c>
      <c r="G56" s="388"/>
      <c r="H56" s="615"/>
      <c r="I56" s="388"/>
      <c r="J56" s="615"/>
      <c r="K56" s="388"/>
      <c r="L56" s="615"/>
      <c r="M56" s="388"/>
      <c r="N56" s="615"/>
      <c r="O56" s="388"/>
      <c r="P56" s="615"/>
      <c r="Q56" s="388"/>
      <c r="R56" s="615"/>
      <c r="S56" s="388"/>
      <c r="T56" s="615"/>
      <c r="U56" s="64"/>
    </row>
    <row r="57" spans="1:21" s="9" customFormat="1" ht="11.25" customHeight="1">
      <c r="A57" s="1413"/>
      <c r="B57" s="65"/>
      <c r="D57" s="385" t="s">
        <v>1886</v>
      </c>
      <c r="E57" s="390" t="s">
        <v>1880</v>
      </c>
      <c r="F57" s="382" t="s">
        <v>1863</v>
      </c>
      <c r="G57" s="388"/>
      <c r="H57" s="615"/>
      <c r="I57" s="388"/>
      <c r="J57" s="615"/>
      <c r="K57" s="388"/>
      <c r="L57" s="615"/>
      <c r="M57" s="388"/>
      <c r="N57" s="615"/>
      <c r="O57" s="388"/>
      <c r="P57" s="615"/>
      <c r="Q57" s="388"/>
      <c r="R57" s="615"/>
      <c r="S57" s="388"/>
      <c r="T57" s="615"/>
      <c r="U57" s="64"/>
    </row>
    <row r="58" spans="1:21" s="9" customFormat="1" ht="11.25" customHeight="1">
      <c r="A58" s="1413"/>
      <c r="B58" s="65"/>
      <c r="D58" s="385" t="s">
        <v>324</v>
      </c>
      <c r="E58" s="387" t="s">
        <v>1882</v>
      </c>
      <c r="F58" s="382" t="s">
        <v>1863</v>
      </c>
      <c r="G58" s="388"/>
      <c r="H58" s="615"/>
      <c r="I58" s="388"/>
      <c r="J58" s="615"/>
      <c r="K58" s="388"/>
      <c r="L58" s="615"/>
      <c r="M58" s="388"/>
      <c r="N58" s="615"/>
      <c r="O58" s="388"/>
      <c r="P58" s="615"/>
      <c r="Q58" s="388"/>
      <c r="R58" s="615"/>
      <c r="S58" s="388"/>
      <c r="T58" s="615"/>
      <c r="U58" s="64"/>
    </row>
    <row r="59" spans="1:21" s="9" customFormat="1" ht="11.25" customHeight="1">
      <c r="A59" s="1413"/>
      <c r="B59" s="65"/>
      <c r="D59" s="385" t="s">
        <v>1887</v>
      </c>
      <c r="E59" s="387" t="s">
        <v>1884</v>
      </c>
      <c r="F59" s="382" t="s">
        <v>1863</v>
      </c>
      <c r="G59" s="388"/>
      <c r="H59" s="615"/>
      <c r="I59" s="388"/>
      <c r="J59" s="615"/>
      <c r="K59" s="388"/>
      <c r="L59" s="615"/>
      <c r="M59" s="388"/>
      <c r="N59" s="615"/>
      <c r="O59" s="388"/>
      <c r="P59" s="615"/>
      <c r="Q59" s="388"/>
      <c r="R59" s="615"/>
      <c r="S59" s="388"/>
      <c r="T59" s="615"/>
      <c r="U59" s="64"/>
    </row>
    <row r="60" spans="1:21" s="9" customFormat="1" ht="33.75" customHeight="1">
      <c r="A60" s="1413"/>
      <c r="B60" s="65"/>
      <c r="D60" s="385" t="s">
        <v>92</v>
      </c>
      <c r="E60" s="386" t="s">
        <v>1888</v>
      </c>
      <c r="F60" s="425" t="s">
        <v>1641</v>
      </c>
      <c r="G60" s="437"/>
      <c r="H60" s="615"/>
      <c r="I60" s="437"/>
      <c r="J60" s="615"/>
      <c r="K60" s="437"/>
      <c r="L60" s="615"/>
      <c r="M60" s="437"/>
      <c r="N60" s="615"/>
      <c r="O60" s="437"/>
      <c r="P60" s="615"/>
      <c r="Q60" s="437"/>
      <c r="R60" s="615"/>
      <c r="S60" s="437"/>
      <c r="T60" s="615"/>
      <c r="U60" s="172" t="s">
        <v>1889</v>
      </c>
    </row>
    <row r="61" spans="1:21" s="9" customFormat="1" ht="33.75" customHeight="1">
      <c r="A61" s="1413"/>
      <c r="B61" s="65"/>
      <c r="D61" s="385" t="s">
        <v>93</v>
      </c>
      <c r="E61" s="386" t="s">
        <v>1890</v>
      </c>
      <c r="F61" s="430" t="s">
        <v>1637</v>
      </c>
      <c r="G61" s="388"/>
      <c r="H61" s="615"/>
      <c r="I61" s="388"/>
      <c r="J61" s="615"/>
      <c r="K61" s="388"/>
      <c r="L61" s="615"/>
      <c r="M61" s="388"/>
      <c r="N61" s="615"/>
      <c r="O61" s="388"/>
      <c r="P61" s="615"/>
      <c r="Q61" s="388"/>
      <c r="R61" s="615"/>
      <c r="S61" s="388"/>
      <c r="T61" s="615"/>
      <c r="U61" s="64"/>
    </row>
    <row r="62" spans="1:21" s="9" customFormat="1" ht="22.5" customHeight="1">
      <c r="A62" s="1413"/>
      <c r="B62" s="65" t="s">
        <v>1747</v>
      </c>
      <c r="D62" s="385" t="s">
        <v>121</v>
      </c>
      <c r="E62" s="386" t="s">
        <v>1891</v>
      </c>
      <c r="F62" s="430" t="s">
        <v>308</v>
      </c>
      <c r="G62" s="114"/>
      <c r="H62" s="615"/>
      <c r="I62" s="114"/>
      <c r="J62" s="615"/>
      <c r="K62" s="114"/>
      <c r="L62" s="615"/>
      <c r="M62" s="114"/>
      <c r="N62" s="615"/>
      <c r="O62" s="114"/>
      <c r="P62" s="615"/>
      <c r="Q62" s="114"/>
      <c r="R62" s="615"/>
      <c r="S62" s="114"/>
      <c r="T62" s="615"/>
      <c r="U62" s="64" t="s">
        <v>1568</v>
      </c>
    </row>
    <row r="63" spans="1:21" s="9" customFormat="1" ht="45" customHeight="1">
      <c r="A63" s="1413"/>
      <c r="B63" s="65" t="s">
        <v>1747</v>
      </c>
      <c r="D63" s="385" t="s">
        <v>1892</v>
      </c>
      <c r="E63" s="387" t="s">
        <v>1893</v>
      </c>
      <c r="F63" s="425" t="s">
        <v>308</v>
      </c>
      <c r="G63" s="114"/>
      <c r="H63" s="615"/>
      <c r="I63" s="114"/>
      <c r="J63" s="615"/>
      <c r="K63" s="114"/>
      <c r="L63" s="615"/>
      <c r="M63" s="114"/>
      <c r="N63" s="615"/>
      <c r="O63" s="114"/>
      <c r="P63" s="615"/>
      <c r="Q63" s="114"/>
      <c r="R63" s="615"/>
      <c r="S63" s="114"/>
      <c r="T63" s="615"/>
      <c r="U63" s="64" t="s">
        <v>1568</v>
      </c>
    </row>
    <row r="64" spans="1:21" s="9" customFormat="1" ht="11.25" customHeight="1">
      <c r="A64" s="314"/>
      <c r="B64" s="65"/>
      <c r="D64" s="1"/>
      <c r="E64" s="203"/>
    </row>
    <row r="65" spans="1:21" s="9" customFormat="1" ht="22.5" hidden="1" customHeight="1">
      <c r="A65" s="1413" t="s">
        <v>1017</v>
      </c>
      <c r="B65" s="65"/>
      <c r="D65" s="385">
        <v>1</v>
      </c>
      <c r="E65" s="439" t="s">
        <v>1894</v>
      </c>
      <c r="F65" s="435" t="s">
        <v>1625</v>
      </c>
      <c r="G65" s="436"/>
      <c r="H65" s="619"/>
      <c r="I65" s="436"/>
      <c r="J65" s="619"/>
      <c r="K65" s="436"/>
      <c r="L65" s="619"/>
      <c r="M65" s="436"/>
      <c r="N65" s="619"/>
      <c r="O65" s="436"/>
      <c r="P65" s="619"/>
      <c r="Q65" s="436"/>
      <c r="R65" s="619"/>
      <c r="S65" s="436"/>
      <c r="T65" s="619"/>
      <c r="U65" s="171" t="s">
        <v>1895</v>
      </c>
    </row>
    <row r="66" spans="1:21" s="9" customFormat="1" ht="56.25" hidden="1" customHeight="1">
      <c r="A66" s="1413"/>
      <c r="B66" s="65"/>
      <c r="D66" s="438" t="s">
        <v>103</v>
      </c>
      <c r="E66" s="150" t="s">
        <v>1896</v>
      </c>
      <c r="F66" s="382" t="s">
        <v>439</v>
      </c>
      <c r="G66" s="382" t="s">
        <v>439</v>
      </c>
      <c r="H66" s="306"/>
      <c r="I66" s="382" t="s">
        <v>439</v>
      </c>
      <c r="J66" s="306"/>
      <c r="K66" s="382" t="s">
        <v>439</v>
      </c>
      <c r="L66" s="306"/>
      <c r="M66" s="382" t="s">
        <v>439</v>
      </c>
      <c r="N66" s="306"/>
      <c r="O66" s="382" t="s">
        <v>439</v>
      </c>
      <c r="P66" s="306"/>
      <c r="Q66" s="382" t="s">
        <v>439</v>
      </c>
      <c r="R66" s="306"/>
      <c r="S66" s="382" t="s">
        <v>439</v>
      </c>
      <c r="T66" s="306"/>
      <c r="U66" s="64"/>
    </row>
    <row r="67" spans="1:21" s="9" customFormat="1" ht="33.75" hidden="1" customHeight="1">
      <c r="A67" s="1413"/>
      <c r="B67" s="65"/>
      <c r="D67" s="438" t="s">
        <v>465</v>
      </c>
      <c r="E67" s="333" t="s">
        <v>1897</v>
      </c>
      <c r="F67" s="382" t="s">
        <v>1866</v>
      </c>
      <c r="G67" s="431"/>
      <c r="H67" s="306"/>
      <c r="I67" s="431"/>
      <c r="J67" s="306"/>
      <c r="K67" s="431"/>
      <c r="L67" s="306"/>
      <c r="M67" s="431"/>
      <c r="N67" s="306"/>
      <c r="O67" s="431"/>
      <c r="P67" s="306"/>
      <c r="Q67" s="431"/>
      <c r="R67" s="306"/>
      <c r="S67" s="431"/>
      <c r="T67" s="306"/>
      <c r="U67" s="64"/>
    </row>
    <row r="68" spans="1:21" s="9" customFormat="1" ht="22.5" hidden="1" customHeight="1">
      <c r="A68" s="1413"/>
      <c r="B68" s="65"/>
      <c r="D68" s="438" t="s">
        <v>309</v>
      </c>
      <c r="E68" s="333" t="s">
        <v>1898</v>
      </c>
      <c r="F68" s="382" t="s">
        <v>1866</v>
      </c>
      <c r="G68" s="431"/>
      <c r="H68" s="306"/>
      <c r="I68" s="431"/>
      <c r="J68" s="306"/>
      <c r="K68" s="431"/>
      <c r="L68" s="306"/>
      <c r="M68" s="431"/>
      <c r="N68" s="306"/>
      <c r="O68" s="431"/>
      <c r="P68" s="306"/>
      <c r="Q68" s="431"/>
      <c r="R68" s="306"/>
      <c r="S68" s="431"/>
      <c r="T68" s="306"/>
      <c r="U68" s="64"/>
    </row>
    <row r="69" spans="1:21" s="9" customFormat="1" ht="22.5" hidden="1" customHeight="1">
      <c r="A69" s="1413"/>
      <c r="B69" s="65"/>
      <c r="D69" s="438" t="s">
        <v>312</v>
      </c>
      <c r="E69" s="333" t="s">
        <v>1899</v>
      </c>
      <c r="F69" s="425" t="s">
        <v>1641</v>
      </c>
      <c r="G69" s="437"/>
      <c r="H69" s="306"/>
      <c r="I69" s="437"/>
      <c r="J69" s="306"/>
      <c r="K69" s="437"/>
      <c r="L69" s="306"/>
      <c r="M69" s="437"/>
      <c r="N69" s="306"/>
      <c r="O69" s="437"/>
      <c r="P69" s="306"/>
      <c r="Q69" s="437"/>
      <c r="R69" s="306"/>
      <c r="S69" s="437"/>
      <c r="T69" s="306"/>
      <c r="U69" s="64"/>
    </row>
    <row r="70" spans="1:21" s="9" customFormat="1" ht="22.5" hidden="1" customHeight="1">
      <c r="A70" s="1413"/>
      <c r="B70" s="65"/>
      <c r="D70" s="438" t="s">
        <v>1374</v>
      </c>
      <c r="E70" s="333" t="s">
        <v>1900</v>
      </c>
      <c r="F70" s="425" t="s">
        <v>1641</v>
      </c>
      <c r="G70" s="437"/>
      <c r="H70" s="306"/>
      <c r="I70" s="437"/>
      <c r="J70" s="306"/>
      <c r="K70" s="437"/>
      <c r="L70" s="306"/>
      <c r="M70" s="437"/>
      <c r="N70" s="306"/>
      <c r="O70" s="437"/>
      <c r="P70" s="306"/>
      <c r="Q70" s="437"/>
      <c r="R70" s="306"/>
      <c r="S70" s="437"/>
      <c r="T70" s="306"/>
      <c r="U70" s="64"/>
    </row>
    <row r="71" spans="1:21" s="9" customFormat="1" ht="22.5" hidden="1" customHeight="1">
      <c r="A71" s="1413"/>
      <c r="B71" s="65"/>
      <c r="D71" s="385" t="s">
        <v>90</v>
      </c>
      <c r="E71" s="386" t="s">
        <v>1901</v>
      </c>
      <c r="F71" s="382" t="s">
        <v>1866</v>
      </c>
      <c r="G71" s="331"/>
      <c r="H71" s="620"/>
      <c r="I71" s="331"/>
      <c r="J71" s="620"/>
      <c r="K71" s="331"/>
      <c r="L71" s="620"/>
      <c r="M71" s="331"/>
      <c r="N71" s="620"/>
      <c r="O71" s="331"/>
      <c r="P71" s="620"/>
      <c r="Q71" s="331"/>
      <c r="R71" s="620"/>
      <c r="S71" s="331"/>
      <c r="T71" s="620"/>
      <c r="U71" s="172"/>
    </row>
    <row r="72" spans="1:21" s="9" customFormat="1" ht="56.25" hidden="1" customHeight="1">
      <c r="A72" s="1413"/>
      <c r="B72" s="65"/>
      <c r="D72" s="385" t="s">
        <v>91</v>
      </c>
      <c r="E72" s="386" t="s">
        <v>1902</v>
      </c>
      <c r="F72" s="425" t="s">
        <v>1641</v>
      </c>
      <c r="G72" s="437"/>
      <c r="H72" s="615"/>
      <c r="I72" s="437"/>
      <c r="J72" s="615"/>
      <c r="K72" s="437"/>
      <c r="L72" s="615"/>
      <c r="M72" s="437"/>
      <c r="N72" s="615"/>
      <c r="O72" s="437"/>
      <c r="P72" s="615"/>
      <c r="Q72" s="437"/>
      <c r="R72" s="615"/>
      <c r="S72" s="437"/>
      <c r="T72" s="615"/>
      <c r="U72" s="172"/>
    </row>
    <row r="73" spans="1:21" s="9" customFormat="1" ht="33.75" hidden="1" customHeight="1">
      <c r="A73" s="1413"/>
      <c r="B73" s="65"/>
      <c r="D73" s="385" t="s">
        <v>120</v>
      </c>
      <c r="E73" s="386" t="s">
        <v>1903</v>
      </c>
      <c r="F73" s="430" t="s">
        <v>1637</v>
      </c>
      <c r="G73" s="388"/>
      <c r="H73" s="615"/>
      <c r="I73" s="388"/>
      <c r="J73" s="615"/>
      <c r="K73" s="388"/>
      <c r="L73" s="615"/>
      <c r="M73" s="388"/>
      <c r="N73" s="615"/>
      <c r="O73" s="388"/>
      <c r="P73" s="615"/>
      <c r="Q73" s="388"/>
      <c r="R73" s="615"/>
      <c r="S73" s="388"/>
      <c r="T73" s="615"/>
      <c r="U73" s="64"/>
    </row>
    <row r="74" spans="1:21" s="9" customFormat="1" ht="22.5" hidden="1" customHeight="1">
      <c r="A74" s="1413"/>
      <c r="B74" s="65" t="s">
        <v>1747</v>
      </c>
      <c r="D74" s="385" t="s">
        <v>92</v>
      </c>
      <c r="E74" s="386" t="s">
        <v>1904</v>
      </c>
      <c r="F74" s="430" t="s">
        <v>308</v>
      </c>
      <c r="G74" s="114"/>
      <c r="H74" s="615"/>
      <c r="I74" s="114"/>
      <c r="J74" s="615"/>
      <c r="K74" s="114"/>
      <c r="L74" s="615"/>
      <c r="M74" s="114"/>
      <c r="N74" s="615"/>
      <c r="O74" s="114"/>
      <c r="P74" s="615"/>
      <c r="Q74" s="114"/>
      <c r="R74" s="615"/>
      <c r="S74" s="114"/>
      <c r="T74" s="615"/>
      <c r="U74" s="64" t="s">
        <v>1568</v>
      </c>
    </row>
    <row r="75" spans="1:21" s="9" customFormat="1" ht="45" hidden="1" customHeight="1">
      <c r="A75" s="1413"/>
      <c r="B75" s="65" t="s">
        <v>1747</v>
      </c>
      <c r="D75" s="385" t="s">
        <v>1378</v>
      </c>
      <c r="E75" s="387" t="s">
        <v>1905</v>
      </c>
      <c r="F75" s="425" t="s">
        <v>308</v>
      </c>
      <c r="G75" s="114"/>
      <c r="H75" s="615"/>
      <c r="I75" s="114"/>
      <c r="J75" s="615"/>
      <c r="K75" s="114"/>
      <c r="L75" s="615"/>
      <c r="M75" s="114"/>
      <c r="N75" s="615"/>
      <c r="O75" s="114"/>
      <c r="P75" s="615"/>
      <c r="Q75" s="114"/>
      <c r="R75" s="615"/>
      <c r="S75" s="114"/>
      <c r="T75" s="615"/>
      <c r="U75" s="64" t="s">
        <v>1568</v>
      </c>
    </row>
    <row r="76" spans="1:21" s="9" customFormat="1" ht="11.25" customHeight="1">
      <c r="A76" s="314"/>
      <c r="B76" s="65"/>
      <c r="D76" s="1"/>
      <c r="E76" s="203"/>
    </row>
    <row r="77" spans="1:21" s="9" customFormat="1" ht="11.25" hidden="1" customHeight="1">
      <c r="A77" s="1413" t="s">
        <v>608</v>
      </c>
      <c r="B77" s="65"/>
      <c r="D77" s="385">
        <v>1</v>
      </c>
      <c r="E77" s="386" t="s">
        <v>1906</v>
      </c>
      <c r="F77" s="425" t="s">
        <v>1625</v>
      </c>
      <c r="G77" s="428"/>
      <c r="H77" s="615"/>
      <c r="I77" s="428"/>
      <c r="J77" s="615"/>
      <c r="K77" s="428"/>
      <c r="L77" s="615"/>
      <c r="M77" s="428"/>
      <c r="N77" s="615"/>
      <c r="O77" s="428"/>
      <c r="P77" s="615"/>
      <c r="Q77" s="428"/>
      <c r="R77" s="615"/>
      <c r="S77" s="428"/>
      <c r="T77" s="615"/>
      <c r="U77" s="64" t="s">
        <v>1907</v>
      </c>
    </row>
    <row r="78" spans="1:21" s="9" customFormat="1" ht="11.25" hidden="1" customHeight="1">
      <c r="A78" s="1413"/>
      <c r="B78" s="65"/>
      <c r="D78" s="385" t="s">
        <v>103</v>
      </c>
      <c r="E78" s="386" t="s">
        <v>1908</v>
      </c>
      <c r="F78" s="425" t="s">
        <v>1625</v>
      </c>
      <c r="G78" s="428"/>
      <c r="H78" s="615"/>
      <c r="I78" s="428"/>
      <c r="J78" s="615"/>
      <c r="K78" s="428"/>
      <c r="L78" s="615"/>
      <c r="M78" s="428"/>
      <c r="N78" s="615"/>
      <c r="O78" s="428"/>
      <c r="P78" s="615"/>
      <c r="Q78" s="428"/>
      <c r="R78" s="615"/>
      <c r="S78" s="428"/>
      <c r="T78" s="615"/>
      <c r="U78" s="64" t="s">
        <v>1909</v>
      </c>
    </row>
    <row r="79" spans="1:21" s="9" customFormat="1" ht="22.5" hidden="1" customHeight="1">
      <c r="A79" s="1413"/>
      <c r="B79" s="65"/>
      <c r="D79" s="385" t="s">
        <v>90</v>
      </c>
      <c r="E79" s="426" t="s">
        <v>1910</v>
      </c>
      <c r="F79" s="382" t="s">
        <v>1863</v>
      </c>
      <c r="G79" s="428"/>
      <c r="H79" s="615"/>
      <c r="I79" s="428"/>
      <c r="J79" s="615"/>
      <c r="K79" s="428"/>
      <c r="L79" s="615"/>
      <c r="M79" s="428"/>
      <c r="N79" s="615"/>
      <c r="O79" s="428"/>
      <c r="P79" s="615"/>
      <c r="Q79" s="428"/>
      <c r="R79" s="615"/>
      <c r="S79" s="428"/>
      <c r="T79" s="615"/>
      <c r="U79" s="64" t="s">
        <v>1911</v>
      </c>
    </row>
    <row r="80" spans="1:21" s="9" customFormat="1" ht="11.25" hidden="1" customHeight="1">
      <c r="A80" s="1413"/>
      <c r="B80" s="65"/>
      <c r="D80" s="385" t="s">
        <v>328</v>
      </c>
      <c r="E80" s="427" t="s">
        <v>1912</v>
      </c>
      <c r="F80" s="382" t="s">
        <v>1863</v>
      </c>
      <c r="G80" s="428"/>
      <c r="H80" s="615"/>
      <c r="I80" s="428"/>
      <c r="J80" s="615"/>
      <c r="K80" s="428"/>
      <c r="L80" s="615"/>
      <c r="M80" s="428"/>
      <c r="N80" s="615"/>
      <c r="O80" s="428"/>
      <c r="P80" s="615"/>
      <c r="Q80" s="428"/>
      <c r="R80" s="615"/>
      <c r="S80" s="428"/>
      <c r="T80" s="615"/>
      <c r="U80" s="64"/>
    </row>
    <row r="81" spans="1:21" s="9" customFormat="1" ht="11.25" hidden="1" customHeight="1">
      <c r="A81" s="1413"/>
      <c r="B81" s="65"/>
      <c r="D81" s="385" t="s">
        <v>336</v>
      </c>
      <c r="E81" s="427" t="s">
        <v>1913</v>
      </c>
      <c r="F81" s="382" t="s">
        <v>1863</v>
      </c>
      <c r="G81" s="428"/>
      <c r="H81" s="615"/>
      <c r="I81" s="428"/>
      <c r="J81" s="615"/>
      <c r="K81" s="428"/>
      <c r="L81" s="615"/>
      <c r="M81" s="428"/>
      <c r="N81" s="615"/>
      <c r="O81" s="428"/>
      <c r="P81" s="615"/>
      <c r="Q81" s="428"/>
      <c r="R81" s="615"/>
      <c r="S81" s="428"/>
      <c r="T81" s="615"/>
      <c r="U81" s="64"/>
    </row>
    <row r="82" spans="1:21" s="9" customFormat="1" ht="11.25" hidden="1" customHeight="1">
      <c r="A82" s="1413"/>
      <c r="B82" s="65"/>
      <c r="D82" s="385" t="s">
        <v>338</v>
      </c>
      <c r="E82" s="427" t="s">
        <v>1914</v>
      </c>
      <c r="F82" s="382" t="s">
        <v>1863</v>
      </c>
      <c r="G82" s="428"/>
      <c r="H82" s="615"/>
      <c r="I82" s="428"/>
      <c r="J82" s="615"/>
      <c r="K82" s="428"/>
      <c r="L82" s="615"/>
      <c r="M82" s="428"/>
      <c r="N82" s="615"/>
      <c r="O82" s="428"/>
      <c r="P82" s="615"/>
      <c r="Q82" s="428"/>
      <c r="R82" s="615"/>
      <c r="S82" s="428"/>
      <c r="T82" s="615"/>
      <c r="U82" s="64"/>
    </row>
    <row r="83" spans="1:21" s="9" customFormat="1" ht="11.25" hidden="1" customHeight="1">
      <c r="A83" s="1413"/>
      <c r="B83" s="65"/>
      <c r="D83" s="385" t="s">
        <v>340</v>
      </c>
      <c r="E83" s="427" t="s">
        <v>1915</v>
      </c>
      <c r="F83" s="382" t="s">
        <v>1863</v>
      </c>
      <c r="G83" s="428"/>
      <c r="H83" s="615"/>
      <c r="I83" s="428"/>
      <c r="J83" s="615"/>
      <c r="K83" s="428"/>
      <c r="L83" s="615"/>
      <c r="M83" s="428"/>
      <c r="N83" s="615"/>
      <c r="O83" s="428"/>
      <c r="P83" s="615"/>
      <c r="Q83" s="428"/>
      <c r="R83" s="615"/>
      <c r="S83" s="428"/>
      <c r="T83" s="615"/>
      <c r="U83" s="64"/>
    </row>
    <row r="84" spans="1:21" s="9" customFormat="1" ht="11.25" hidden="1" customHeight="1">
      <c r="A84" s="1413"/>
      <c r="B84" s="65"/>
      <c r="D84" s="385" t="s">
        <v>1916</v>
      </c>
      <c r="E84" s="427" t="s">
        <v>1917</v>
      </c>
      <c r="F84" s="382" t="s">
        <v>1863</v>
      </c>
      <c r="G84" s="428"/>
      <c r="H84" s="615"/>
      <c r="I84" s="428"/>
      <c r="J84" s="615"/>
      <c r="K84" s="428"/>
      <c r="L84" s="615"/>
      <c r="M84" s="428"/>
      <c r="N84" s="615"/>
      <c r="O84" s="428"/>
      <c r="P84" s="615"/>
      <c r="Q84" s="428"/>
      <c r="R84" s="615"/>
      <c r="S84" s="428"/>
      <c r="T84" s="615"/>
      <c r="U84" s="64"/>
    </row>
    <row r="85" spans="1:21" s="9" customFormat="1" ht="11.25" hidden="1" customHeight="1">
      <c r="A85" s="1413"/>
      <c r="B85" s="65"/>
      <c r="D85" s="385" t="s">
        <v>1918</v>
      </c>
      <c r="E85" s="427" t="s">
        <v>1919</v>
      </c>
      <c r="F85" s="382" t="s">
        <v>1863</v>
      </c>
      <c r="G85" s="428"/>
      <c r="H85" s="615"/>
      <c r="I85" s="428"/>
      <c r="J85" s="615"/>
      <c r="K85" s="428"/>
      <c r="L85" s="615"/>
      <c r="M85" s="428"/>
      <c r="N85" s="615"/>
      <c r="O85" s="428"/>
      <c r="P85" s="615"/>
      <c r="Q85" s="428"/>
      <c r="R85" s="615"/>
      <c r="S85" s="428"/>
      <c r="T85" s="615"/>
      <c r="U85" s="64"/>
    </row>
    <row r="86" spans="1:21" s="9" customFormat="1" ht="11.25" hidden="1" customHeight="1">
      <c r="A86" s="1413"/>
      <c r="B86" s="65"/>
      <c r="D86" s="385" t="s">
        <v>1920</v>
      </c>
      <c r="E86" s="427" t="s">
        <v>1921</v>
      </c>
      <c r="F86" s="382" t="s">
        <v>1863</v>
      </c>
      <c r="G86" s="428"/>
      <c r="H86" s="615"/>
      <c r="I86" s="428"/>
      <c r="J86" s="615"/>
      <c r="K86" s="428"/>
      <c r="L86" s="615"/>
      <c r="M86" s="428"/>
      <c r="N86" s="615"/>
      <c r="O86" s="428"/>
      <c r="P86" s="615"/>
      <c r="Q86" s="428"/>
      <c r="R86" s="615"/>
      <c r="S86" s="428"/>
      <c r="T86" s="615"/>
      <c r="U86" s="64"/>
    </row>
    <row r="87" spans="1:21" s="9" customFormat="1" ht="45" hidden="1" customHeight="1">
      <c r="A87" s="1413"/>
      <c r="B87" s="65"/>
      <c r="D87" s="385" t="s">
        <v>91</v>
      </c>
      <c r="E87" s="386" t="s">
        <v>1922</v>
      </c>
      <c r="F87" s="382" t="s">
        <v>1863</v>
      </c>
      <c r="G87" s="428"/>
      <c r="H87" s="615"/>
      <c r="I87" s="428"/>
      <c r="J87" s="615"/>
      <c r="K87" s="428"/>
      <c r="L87" s="615"/>
      <c r="M87" s="428"/>
      <c r="N87" s="615"/>
      <c r="O87" s="428"/>
      <c r="P87" s="615"/>
      <c r="Q87" s="428"/>
      <c r="R87" s="615"/>
      <c r="S87" s="428"/>
      <c r="T87" s="615"/>
      <c r="U87" s="64" t="s">
        <v>1923</v>
      </c>
    </row>
    <row r="88" spans="1:21" s="9" customFormat="1" ht="11.25" hidden="1" customHeight="1">
      <c r="A88" s="1413"/>
      <c r="B88" s="65"/>
      <c r="D88" s="385" t="s">
        <v>1473</v>
      </c>
      <c r="E88" s="427" t="s">
        <v>1912</v>
      </c>
      <c r="F88" s="382" t="s">
        <v>1863</v>
      </c>
      <c r="G88" s="428"/>
      <c r="H88" s="615"/>
      <c r="I88" s="428"/>
      <c r="J88" s="615"/>
      <c r="K88" s="428"/>
      <c r="L88" s="615"/>
      <c r="M88" s="428"/>
      <c r="N88" s="615"/>
      <c r="O88" s="428"/>
      <c r="P88" s="615"/>
      <c r="Q88" s="428"/>
      <c r="R88" s="615"/>
      <c r="S88" s="428"/>
      <c r="T88" s="615"/>
      <c r="U88" s="64"/>
    </row>
    <row r="89" spans="1:21" s="9" customFormat="1" ht="11.25" hidden="1" customHeight="1">
      <c r="A89" s="1413"/>
      <c r="B89" s="65"/>
      <c r="D89" s="385" t="s">
        <v>1490</v>
      </c>
      <c r="E89" s="427" t="s">
        <v>1913</v>
      </c>
      <c r="F89" s="382" t="s">
        <v>1863</v>
      </c>
      <c r="G89" s="428"/>
      <c r="H89" s="615"/>
      <c r="I89" s="428"/>
      <c r="J89" s="615"/>
      <c r="K89" s="428"/>
      <c r="L89" s="615"/>
      <c r="M89" s="428"/>
      <c r="N89" s="615"/>
      <c r="O89" s="428"/>
      <c r="P89" s="615"/>
      <c r="Q89" s="428"/>
      <c r="R89" s="615"/>
      <c r="S89" s="428"/>
      <c r="T89" s="615"/>
      <c r="U89" s="64"/>
    </row>
    <row r="90" spans="1:21" s="9" customFormat="1" ht="11.25" hidden="1" customHeight="1">
      <c r="A90" s="1413"/>
      <c r="B90" s="65"/>
      <c r="D90" s="385" t="s">
        <v>1638</v>
      </c>
      <c r="E90" s="427" t="s">
        <v>1914</v>
      </c>
      <c r="F90" s="382" t="s">
        <v>1863</v>
      </c>
      <c r="G90" s="428"/>
      <c r="H90" s="615"/>
      <c r="I90" s="428"/>
      <c r="J90" s="615"/>
      <c r="K90" s="428"/>
      <c r="L90" s="615"/>
      <c r="M90" s="428"/>
      <c r="N90" s="615"/>
      <c r="O90" s="428"/>
      <c r="P90" s="615"/>
      <c r="Q90" s="428"/>
      <c r="R90" s="615"/>
      <c r="S90" s="428"/>
      <c r="T90" s="615"/>
      <c r="U90" s="64"/>
    </row>
    <row r="91" spans="1:21" s="9" customFormat="1" ht="11.25" hidden="1" customHeight="1">
      <c r="A91" s="1413"/>
      <c r="B91" s="65"/>
      <c r="D91" s="385" t="s">
        <v>1881</v>
      </c>
      <c r="E91" s="427" t="s">
        <v>1915</v>
      </c>
      <c r="F91" s="382" t="s">
        <v>1863</v>
      </c>
      <c r="G91" s="428"/>
      <c r="H91" s="615"/>
      <c r="I91" s="428"/>
      <c r="J91" s="615"/>
      <c r="K91" s="428"/>
      <c r="L91" s="615"/>
      <c r="M91" s="428"/>
      <c r="N91" s="615"/>
      <c r="O91" s="428"/>
      <c r="P91" s="615"/>
      <c r="Q91" s="428"/>
      <c r="R91" s="615"/>
      <c r="S91" s="428"/>
      <c r="T91" s="615"/>
      <c r="U91" s="64"/>
    </row>
    <row r="92" spans="1:21" s="9" customFormat="1" ht="11.25" hidden="1" customHeight="1">
      <c r="A92" s="1413"/>
      <c r="B92" s="65"/>
      <c r="D92" s="385" t="s">
        <v>1883</v>
      </c>
      <c r="E92" s="427" t="s">
        <v>1917</v>
      </c>
      <c r="F92" s="382" t="s">
        <v>1863</v>
      </c>
      <c r="G92" s="428"/>
      <c r="H92" s="615"/>
      <c r="I92" s="428"/>
      <c r="J92" s="615"/>
      <c r="K92" s="428"/>
      <c r="L92" s="615"/>
      <c r="M92" s="428"/>
      <c r="N92" s="615"/>
      <c r="O92" s="428"/>
      <c r="P92" s="615"/>
      <c r="Q92" s="428"/>
      <c r="R92" s="615"/>
      <c r="S92" s="428"/>
      <c r="T92" s="615"/>
      <c r="U92" s="64"/>
    </row>
    <row r="93" spans="1:21" s="9" customFormat="1" ht="11.25" hidden="1" customHeight="1">
      <c r="A93" s="1413"/>
      <c r="B93" s="65"/>
      <c r="D93" s="385" t="s">
        <v>1924</v>
      </c>
      <c r="E93" s="427" t="s">
        <v>1919</v>
      </c>
      <c r="F93" s="382" t="s">
        <v>1863</v>
      </c>
      <c r="G93" s="428"/>
      <c r="H93" s="615"/>
      <c r="I93" s="428"/>
      <c r="J93" s="615"/>
      <c r="K93" s="428"/>
      <c r="L93" s="615"/>
      <c r="M93" s="428"/>
      <c r="N93" s="615"/>
      <c r="O93" s="428"/>
      <c r="P93" s="615"/>
      <c r="Q93" s="428"/>
      <c r="R93" s="615"/>
      <c r="S93" s="428"/>
      <c r="T93" s="615"/>
      <c r="U93" s="64"/>
    </row>
    <row r="94" spans="1:21" s="9" customFormat="1" ht="11.25" hidden="1" customHeight="1">
      <c r="A94" s="1413"/>
      <c r="B94" s="65"/>
      <c r="D94" s="385" t="s">
        <v>1925</v>
      </c>
      <c r="E94" s="427" t="s">
        <v>1921</v>
      </c>
      <c r="F94" s="382" t="s">
        <v>1863</v>
      </c>
      <c r="G94" s="428"/>
      <c r="H94" s="615"/>
      <c r="I94" s="428"/>
      <c r="J94" s="615"/>
      <c r="K94" s="428"/>
      <c r="L94" s="615"/>
      <c r="M94" s="428"/>
      <c r="N94" s="615"/>
      <c r="O94" s="428"/>
      <c r="P94" s="615"/>
      <c r="Q94" s="428"/>
      <c r="R94" s="615"/>
      <c r="S94" s="428"/>
      <c r="T94" s="615"/>
      <c r="U94" s="64"/>
    </row>
    <row r="95" spans="1:21" s="9" customFormat="1" ht="24.75" hidden="1" customHeight="1">
      <c r="A95" s="1413"/>
      <c r="B95" s="65"/>
      <c r="D95" s="385" t="s">
        <v>120</v>
      </c>
      <c r="E95" s="386" t="s">
        <v>1926</v>
      </c>
      <c r="F95" s="429" t="s">
        <v>1641</v>
      </c>
      <c r="G95" s="431"/>
      <c r="H95" s="615"/>
      <c r="I95" s="431"/>
      <c r="J95" s="615"/>
      <c r="K95" s="431"/>
      <c r="L95" s="615"/>
      <c r="M95" s="431"/>
      <c r="N95" s="615"/>
      <c r="O95" s="431"/>
      <c r="P95" s="615"/>
      <c r="Q95" s="431"/>
      <c r="R95" s="615"/>
      <c r="S95" s="431"/>
      <c r="T95" s="615"/>
      <c r="U95" s="64" t="s">
        <v>1927</v>
      </c>
    </row>
    <row r="96" spans="1:21" s="9" customFormat="1" ht="33.75" hidden="1" customHeight="1">
      <c r="A96" s="1413"/>
      <c r="B96" s="65"/>
      <c r="D96" s="385" t="s">
        <v>92</v>
      </c>
      <c r="E96" s="386" t="s">
        <v>1928</v>
      </c>
      <c r="F96" s="430" t="s">
        <v>1637</v>
      </c>
      <c r="G96" s="432"/>
      <c r="H96" s="615"/>
      <c r="I96" s="432"/>
      <c r="J96" s="615"/>
      <c r="K96" s="432"/>
      <c r="L96" s="615"/>
      <c r="M96" s="432"/>
      <c r="N96" s="615"/>
      <c r="O96" s="432"/>
      <c r="P96" s="615"/>
      <c r="Q96" s="432"/>
      <c r="R96" s="615"/>
      <c r="S96" s="432"/>
      <c r="T96" s="615"/>
      <c r="U96" s="64"/>
    </row>
    <row r="97" spans="1:21" s="9" customFormat="1" ht="22.5" hidden="1" customHeight="1">
      <c r="A97" s="1413"/>
      <c r="B97" s="65" t="s">
        <v>1747</v>
      </c>
      <c r="D97" s="385" t="s">
        <v>93</v>
      </c>
      <c r="E97" s="386" t="s">
        <v>1929</v>
      </c>
      <c r="F97" s="430" t="s">
        <v>308</v>
      </c>
      <c r="G97" s="232"/>
      <c r="H97" s="615"/>
      <c r="I97" s="232"/>
      <c r="J97" s="615"/>
      <c r="K97" s="232"/>
      <c r="L97" s="615"/>
      <c r="M97" s="232"/>
      <c r="N97" s="615"/>
      <c r="O97" s="232"/>
      <c r="P97" s="615"/>
      <c r="Q97" s="232"/>
      <c r="R97" s="615"/>
      <c r="S97" s="232"/>
      <c r="T97" s="615"/>
      <c r="U97" s="64" t="s">
        <v>1568</v>
      </c>
    </row>
    <row r="98" spans="1:21" s="9" customFormat="1" ht="45" hidden="1" customHeight="1">
      <c r="A98" s="1413"/>
      <c r="B98" s="65" t="s">
        <v>1747</v>
      </c>
      <c r="D98" s="385" t="s">
        <v>1930</v>
      </c>
      <c r="E98" s="387" t="s">
        <v>1931</v>
      </c>
      <c r="F98" s="425" t="s">
        <v>308</v>
      </c>
      <c r="G98" s="232"/>
      <c r="H98" s="615"/>
      <c r="I98" s="232"/>
      <c r="J98" s="615"/>
      <c r="K98" s="232"/>
      <c r="L98" s="615"/>
      <c r="M98" s="232"/>
      <c r="N98" s="615"/>
      <c r="O98" s="232"/>
      <c r="P98" s="615"/>
      <c r="Q98" s="232"/>
      <c r="R98" s="615"/>
      <c r="S98" s="232"/>
      <c r="T98" s="615"/>
      <c r="U98" s="64" t="s">
        <v>1568</v>
      </c>
    </row>
    <row r="99" spans="1:21" s="9" customFormat="1" ht="95.25" hidden="1" customHeight="1">
      <c r="A99" s="1413"/>
      <c r="B99" s="65" t="s">
        <v>1747</v>
      </c>
      <c r="D99" s="385" t="s">
        <v>121</v>
      </c>
      <c r="E99" s="386" t="s">
        <v>1932</v>
      </c>
      <c r="F99" s="425" t="s">
        <v>308</v>
      </c>
      <c r="G99" s="232"/>
      <c r="H99" s="615"/>
      <c r="I99" s="232"/>
      <c r="J99" s="615"/>
      <c r="K99" s="232"/>
      <c r="L99" s="615"/>
      <c r="M99" s="232"/>
      <c r="N99" s="615"/>
      <c r="O99" s="232"/>
      <c r="P99" s="615"/>
      <c r="Q99" s="232"/>
      <c r="R99" s="615"/>
      <c r="S99" s="232"/>
      <c r="T99" s="615"/>
      <c r="U99" s="64" t="s">
        <v>1568</v>
      </c>
    </row>
    <row r="100" spans="1:21" s="9" customFormat="1" ht="22.5" hidden="1" customHeight="1">
      <c r="A100" s="1413"/>
      <c r="B100" s="65" t="s">
        <v>1747</v>
      </c>
      <c r="D100" s="385" t="s">
        <v>164</v>
      </c>
      <c r="E100" s="386" t="s">
        <v>1933</v>
      </c>
      <c r="F100" s="425" t="s">
        <v>308</v>
      </c>
      <c r="G100" s="232"/>
      <c r="H100" s="615"/>
      <c r="I100" s="232"/>
      <c r="J100" s="615"/>
      <c r="K100" s="232"/>
      <c r="L100" s="615"/>
      <c r="M100" s="232"/>
      <c r="N100" s="615"/>
      <c r="O100" s="232"/>
      <c r="P100" s="615"/>
      <c r="Q100" s="232"/>
      <c r="R100" s="615"/>
      <c r="S100" s="232"/>
      <c r="T100" s="615"/>
      <c r="U100" s="64" t="s">
        <v>1568</v>
      </c>
    </row>
    <row r="101" spans="1:21" s="9" customFormat="1" ht="11.25" customHeight="1">
      <c r="A101" s="314"/>
      <c r="B101" s="65"/>
      <c r="D101" s="1"/>
      <c r="E101" s="203"/>
    </row>
  </sheetData>
  <sheetProtection formatColumns="0" formatRows="0" insertRows="0" deleteColumns="0" deleteRows="0" sort="0" autoFilter="0"/>
  <mergeCells count="33">
    <mergeCell ref="Q7:R7"/>
    <mergeCell ref="Q8:R8"/>
    <mergeCell ref="Q9:R9"/>
    <mergeCell ref="S7:T7"/>
    <mergeCell ref="S8:T8"/>
    <mergeCell ref="S9:T9"/>
    <mergeCell ref="M7:N7"/>
    <mergeCell ref="M8:N8"/>
    <mergeCell ref="M9:N9"/>
    <mergeCell ref="O7:P7"/>
    <mergeCell ref="O8:P8"/>
    <mergeCell ref="O9:P9"/>
    <mergeCell ref="A37:A63"/>
    <mergeCell ref="A65:A75"/>
    <mergeCell ref="A77:A100"/>
    <mergeCell ref="A13:A35"/>
    <mergeCell ref="A11:B11"/>
    <mergeCell ref="D3:F3"/>
    <mergeCell ref="U7:U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xr:uid="{00000000-0002-0000-2B00-000000000000}">
      <formula1>900</formula1>
    </dataValidation>
    <dataValidation type="whole" allowBlank="1" showErrorMessage="1" errorTitle="Ошибка" error="Допускается ввод только неотрицательных целых чисел!" sqref="G16:G17 I16:I17 K16 K17 M16 M17 O16 O17 Q16 Q17 S16 S17" xr:uid="{00000000-0002-0000-2B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xr:uid="{00000000-0002-0000-2B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J13:J14 L13:L14 N13:N14 P13:P14 R13:R14 T13:T14 J31:J32 L31:L32 N31:N32 P31:P32 R31:R32 T31:T32 K62 K63 K74 K75 K97 K98 K99 K100 M62 M63 M74 M75 M97 M98 M99 M100 O62 O63 O74 O75 O97 O98 O99 O100 Q62 Q63 Q74 Q75 Q97 Q98 Q99 Q100 S62 S63 S74 S75 S97 S98 S99 S100" xr:uid="{00000000-0002-0000-2B00-0000030000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xr:uid="{00000000-0002-0000-2B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xr:uid="{00000000-0002-0000-2B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77A11-DB7E-D21D-A507-14F588913422}">
  <sheetPr>
    <tabColor theme="9" tint="-0.249977111117893"/>
  </sheetPr>
  <dimension ref="A1:AD15"/>
  <sheetViews>
    <sheetView showGridLines="0" topLeftCell="E4" zoomScale="85" workbookViewId="0"/>
  </sheetViews>
  <sheetFormatPr defaultColWidth="9.140625" defaultRowHeight="10.5" customHeight="1"/>
  <cols>
    <col min="1" max="3" width="6.7109375" style="314" hidden="1" customWidth="1"/>
    <col min="4" max="4" width="6.7109375" style="60" hidden="1" customWidth="1"/>
    <col min="5" max="5" width="3.7109375" style="9" customWidth="1"/>
    <col min="6" max="6" width="6.28515625" style="9" customWidth="1"/>
    <col min="7" max="7" width="37.7109375" style="9" customWidth="1"/>
    <col min="8" max="8" width="16.5703125" style="9" customWidth="1"/>
    <col min="9" max="10" width="19.7109375" style="9" customWidth="1"/>
    <col min="11" max="11" width="25" style="9" customWidth="1"/>
    <col min="12" max="13" width="25.7109375" style="9" customWidth="1"/>
    <col min="14" max="16" width="17.7109375" style="9" customWidth="1"/>
    <col min="17" max="24" width="19.7109375" style="9" customWidth="1"/>
    <col min="25" max="25" width="8" style="9" customWidth="1"/>
    <col min="26" max="26" width="3.28515625" style="9" customWidth="1"/>
    <col min="27" max="27" width="6.28515625" style="9" customWidth="1"/>
    <col min="28" max="28" width="34.140625" style="9" customWidth="1"/>
    <col min="29" max="30" width="9.140625" style="9"/>
  </cols>
  <sheetData>
    <row r="1" spans="1:30" s="60" customFormat="1" ht="10.5" hidden="1" customHeight="1">
      <c r="A1" s="314"/>
      <c r="B1" s="314"/>
      <c r="C1" s="314"/>
    </row>
    <row r="2" spans="1:30" ht="10.5" hidden="1" customHeight="1"/>
    <row r="3" spans="1:30" s="6" customFormat="1" ht="10.5" hidden="1" customHeight="1">
      <c r="A3" s="314"/>
      <c r="B3" s="314"/>
      <c r="C3" s="314"/>
      <c r="D3" s="60"/>
    </row>
    <row r="4" spans="1:30" ht="3" customHeight="1"/>
    <row r="5" spans="1:30" ht="30" customHeight="1">
      <c r="F5" s="1312" t="s">
        <v>1934</v>
      </c>
      <c r="G5" s="1312"/>
      <c r="H5" s="1312"/>
      <c r="I5" s="1312"/>
      <c r="J5" s="1312"/>
      <c r="K5" s="1312"/>
      <c r="M5" s="15"/>
    </row>
    <row r="6" spans="1:30" s="9" customFormat="1" ht="15.75" customHeight="1">
      <c r="A6" s="314"/>
      <c r="B6" s="314"/>
      <c r="C6" s="314"/>
      <c r="D6" s="60"/>
      <c r="F6" s="1178" t="str">
        <f>IF(org=0,"Не определено",org)</f>
        <v>ООО "Концессионная Коммунальная Компания"</v>
      </c>
      <c r="G6" s="1178"/>
      <c r="H6" s="1178"/>
      <c r="I6" s="1178"/>
      <c r="J6" s="1178"/>
      <c r="K6" s="1178"/>
      <c r="M6" s="15"/>
    </row>
    <row r="8" spans="1:30" ht="10.5" customHeight="1">
      <c r="F8" s="1063" t="s">
        <v>302</v>
      </c>
      <c r="G8" s="1068"/>
      <c r="H8" s="1068"/>
      <c r="I8" s="1068"/>
      <c r="J8" s="1068"/>
      <c r="K8" s="1068"/>
      <c r="L8" s="1068"/>
      <c r="M8" s="1068"/>
      <c r="N8" s="1068"/>
      <c r="O8" s="1068"/>
      <c r="P8" s="1068"/>
      <c r="Q8" s="1068"/>
      <c r="R8" s="1068"/>
      <c r="S8" s="1068"/>
      <c r="T8" s="1068"/>
      <c r="U8" s="1068"/>
      <c r="V8" s="1068"/>
      <c r="W8" s="1068"/>
      <c r="X8" s="1068"/>
      <c r="Y8" s="1068"/>
      <c r="Z8" s="1068"/>
      <c r="AA8" s="1068"/>
      <c r="AB8" s="1062"/>
    </row>
    <row r="9" spans="1:30" ht="41.25" customHeight="1">
      <c r="A9" s="541"/>
      <c r="B9" s="541"/>
      <c r="C9" s="541"/>
      <c r="F9" s="1082" t="s">
        <v>88</v>
      </c>
      <c r="G9" s="1082" t="s">
        <v>1935</v>
      </c>
      <c r="H9" s="1145" t="s">
        <v>1936</v>
      </c>
      <c r="I9" s="1082" t="s">
        <v>1937</v>
      </c>
      <c r="J9" s="1082" t="s">
        <v>1938</v>
      </c>
      <c r="K9" s="1082" t="s">
        <v>1939</v>
      </c>
      <c r="L9" s="1082" t="s">
        <v>1940</v>
      </c>
      <c r="M9" s="1082" t="s">
        <v>1941</v>
      </c>
      <c r="N9" s="1176" t="s">
        <v>1942</v>
      </c>
      <c r="O9" s="1176"/>
      <c r="P9" s="1176"/>
      <c r="Q9" s="1300" t="s">
        <v>1943</v>
      </c>
      <c r="R9" s="1301"/>
      <c r="S9" s="1301"/>
      <c r="T9" s="1302"/>
      <c r="U9" s="1300" t="s">
        <v>1944</v>
      </c>
      <c r="V9" s="1301"/>
      <c r="W9" s="1301"/>
      <c r="X9" s="1302"/>
      <c r="Y9" s="1063" t="s">
        <v>1945</v>
      </c>
      <c r="Z9" s="1068"/>
      <c r="AA9" s="1068"/>
      <c r="AB9" s="1062"/>
    </row>
    <row r="10" spans="1:30" ht="41.25" customHeight="1">
      <c r="A10" s="541"/>
      <c r="B10" s="541"/>
      <c r="C10" s="541"/>
      <c r="F10" s="1145"/>
      <c r="G10" s="1145"/>
      <c r="H10" s="1200"/>
      <c r="I10" s="1145"/>
      <c r="J10" s="1145"/>
      <c r="K10" s="1145"/>
      <c r="L10" s="1145"/>
      <c r="M10" s="1145"/>
      <c r="N10" s="539" t="s">
        <v>1946</v>
      </c>
      <c r="O10" s="539" t="s">
        <v>1947</v>
      </c>
      <c r="P10" s="540" t="s">
        <v>1948</v>
      </c>
      <c r="Q10" s="539" t="s">
        <v>89</v>
      </c>
      <c r="R10" s="539" t="s">
        <v>1949</v>
      </c>
      <c r="S10" s="539" t="s">
        <v>1950</v>
      </c>
      <c r="T10" s="543" t="s">
        <v>1951</v>
      </c>
      <c r="U10" s="539" t="s">
        <v>89</v>
      </c>
      <c r="V10" s="539" t="s">
        <v>1952</v>
      </c>
      <c r="W10" s="539" t="s">
        <v>1950</v>
      </c>
      <c r="X10" s="543" t="s">
        <v>1951</v>
      </c>
      <c r="Y10" s="171" t="s">
        <v>1953</v>
      </c>
      <c r="Z10" s="1063" t="s">
        <v>88</v>
      </c>
      <c r="AA10" s="1062"/>
      <c r="AB10" s="39" t="s">
        <v>1954</v>
      </c>
    </row>
    <row r="11" spans="1:30" s="65" customFormat="1" ht="5.25" hidden="1" customHeight="1">
      <c r="A11" s="323"/>
      <c r="B11" s="323"/>
      <c r="C11" s="323"/>
      <c r="E11" s="119"/>
      <c r="F11" s="1273" t="s">
        <v>380</v>
      </c>
      <c r="G11" s="1372"/>
      <c r="H11" s="1414"/>
      <c r="I11" s="1414"/>
      <c r="J11" s="1414"/>
      <c r="K11" s="1229"/>
      <c r="L11" s="1229"/>
      <c r="M11" s="1229"/>
      <c r="N11" s="1414"/>
      <c r="O11" s="1414"/>
      <c r="P11" s="1082"/>
      <c r="Q11" s="1155"/>
      <c r="R11" s="1155"/>
      <c r="S11" s="1155"/>
      <c r="T11" s="1414"/>
      <c r="U11" s="1155"/>
      <c r="V11" s="1155"/>
      <c r="W11" s="1155"/>
      <c r="X11" s="1414"/>
      <c r="Y11" s="1093"/>
      <c r="Z11" s="1093"/>
      <c r="AA11" s="1093"/>
      <c r="AB11" s="1093"/>
      <c r="AD11" s="65" t="s">
        <v>1955</v>
      </c>
    </row>
    <row r="12" spans="1:30" s="65" customFormat="1" ht="5.25" hidden="1" customHeight="1">
      <c r="A12" s="323"/>
      <c r="B12" s="323"/>
      <c r="C12" s="323"/>
      <c r="F12" s="1273"/>
      <c r="G12" s="1372"/>
      <c r="H12" s="1414"/>
      <c r="I12" s="1414"/>
      <c r="J12" s="1414"/>
      <c r="K12" s="1229"/>
      <c r="L12" s="1229"/>
      <c r="M12" s="1229"/>
      <c r="N12" s="1414"/>
      <c r="O12" s="1414"/>
      <c r="P12" s="1082"/>
      <c r="Q12" s="1155"/>
      <c r="R12" s="1155"/>
      <c r="S12" s="1155"/>
      <c r="T12" s="1414"/>
      <c r="U12" s="1155"/>
      <c r="V12" s="1155"/>
      <c r="W12" s="1155"/>
      <c r="X12" s="1414"/>
      <c r="Y12" s="1415"/>
      <c r="Z12" s="1415"/>
      <c r="AA12" s="1415"/>
      <c r="AB12" s="1415"/>
    </row>
    <row r="13" spans="1:30" ht="10.5" customHeight="1">
      <c r="F13" s="168"/>
      <c r="G13" s="107" t="s">
        <v>1956</v>
      </c>
      <c r="H13" s="107"/>
      <c r="I13" s="343"/>
      <c r="J13" s="343"/>
      <c r="K13" s="343"/>
      <c r="L13" s="343"/>
      <c r="M13" s="343"/>
      <c r="N13" s="343"/>
      <c r="O13" s="343"/>
      <c r="P13" s="343"/>
      <c r="Q13" s="343"/>
      <c r="R13" s="343"/>
      <c r="S13" s="343"/>
      <c r="T13" s="343"/>
      <c r="U13" s="343"/>
      <c r="V13" s="343"/>
      <c r="W13" s="343"/>
      <c r="X13" s="343"/>
      <c r="Y13" s="343"/>
      <c r="Z13" s="407"/>
      <c r="AA13" s="407"/>
      <c r="AB13" s="544"/>
    </row>
    <row r="15" spans="1:30" s="65" customFormat="1" ht="10.5" customHeight="1">
      <c r="A15" s="323"/>
      <c r="B15" s="323"/>
      <c r="C15" s="323"/>
      <c r="H15" s="65">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C002B-BA1B-0E55-0041-AF54FF3FAFB7}">
  <sheetPr>
    <tabColor theme="9" tint="-0.249977111117893"/>
  </sheetPr>
  <dimension ref="A1:BF19"/>
  <sheetViews>
    <sheetView showGridLines="0" topLeftCell="E4" zoomScale="90" workbookViewId="0"/>
  </sheetViews>
  <sheetFormatPr defaultColWidth="9.140625" defaultRowHeight="10.5" customHeight="1"/>
  <cols>
    <col min="1" max="3" width="4.140625" style="314" hidden="1" customWidth="1"/>
    <col min="4" max="4" width="4.140625" style="60" hidden="1" customWidth="1"/>
    <col min="5" max="5" width="3.7109375" style="9" customWidth="1"/>
    <col min="6" max="6" width="14.42578125" style="9" customWidth="1"/>
    <col min="7" max="7" width="3.7109375" style="9" customWidth="1"/>
    <col min="8" max="8" width="7.7109375" style="9" customWidth="1"/>
    <col min="9" max="10" width="16.7109375" style="9" customWidth="1"/>
    <col min="11" max="11" width="25.7109375" style="9" customWidth="1"/>
    <col min="12" max="12" width="8" style="9" customWidth="1"/>
    <col min="13" max="13" width="15.5703125" style="9" customWidth="1"/>
    <col min="14" max="14" width="3.28515625" style="9" customWidth="1"/>
    <col min="15" max="15" width="4.7109375" style="9" customWidth="1"/>
    <col min="16" max="16" width="9" style="9" customWidth="1"/>
    <col min="17" max="17" width="21.7109375" style="9" customWidth="1"/>
    <col min="18" max="18" width="14.7109375" style="9" customWidth="1"/>
    <col min="19" max="20" width="17.7109375" style="9" customWidth="1"/>
    <col min="21" max="21" width="9.7109375" style="9" customWidth="1"/>
    <col min="22" max="22" width="12.7109375" style="9" customWidth="1"/>
    <col min="23" max="23" width="9.7109375" style="9" customWidth="1"/>
    <col min="24" max="24" width="21.7109375" style="9" customWidth="1"/>
    <col min="25" max="25" width="12.7109375" style="9" customWidth="1"/>
    <col min="26" max="26" width="3.28515625" style="9" customWidth="1"/>
    <col min="27" max="27" width="7.140625" style="9" customWidth="1"/>
    <col min="28" max="28" width="38.42578125" style="9" customWidth="1"/>
    <col min="29" max="29" width="15.7109375" style="9" customWidth="1"/>
    <col min="30" max="30" width="37.5703125" style="9" customWidth="1"/>
    <col min="31" max="31" width="15.7109375" style="9" customWidth="1"/>
    <col min="32" max="37" width="16.7109375" style="9" customWidth="1"/>
    <col min="38" max="58" width="9.140625" style="9"/>
  </cols>
  <sheetData>
    <row r="1" spans="1:58" s="60" customFormat="1" ht="10.5" hidden="1" customHeight="1">
      <c r="A1" s="314"/>
      <c r="B1" s="314"/>
      <c r="C1" s="314"/>
    </row>
    <row r="2" spans="1:58" ht="10.5" hidden="1" customHeight="1"/>
    <row r="3" spans="1:58" s="6" customFormat="1" ht="10.5" hidden="1" customHeight="1">
      <c r="A3" s="314"/>
      <c r="B3" s="314"/>
      <c r="C3" s="314"/>
      <c r="D3" s="60"/>
    </row>
    <row r="4" spans="1:58" ht="3" customHeight="1"/>
    <row r="5" spans="1:58" ht="30" customHeight="1">
      <c r="F5" s="1312" t="s">
        <v>1934</v>
      </c>
      <c r="G5" s="1312"/>
      <c r="H5" s="1312"/>
      <c r="I5" s="1312"/>
      <c r="J5" s="1312"/>
      <c r="K5" s="1312"/>
      <c r="L5" s="681"/>
      <c r="M5" s="681"/>
    </row>
    <row r="6" spans="1:58" ht="10.5" customHeight="1">
      <c r="F6" s="1178" t="str">
        <f>IF(org=0,"Не определено",org)</f>
        <v>ООО "Концессионная Коммунальная Компания"</v>
      </c>
      <c r="G6" s="1178"/>
      <c r="H6" s="1178"/>
      <c r="I6" s="1178"/>
      <c r="J6" s="1178"/>
      <c r="K6" s="1178"/>
      <c r="L6" s="681"/>
      <c r="M6" s="681"/>
    </row>
    <row r="7" spans="1:58" ht="11.25" customHeight="1">
      <c r="E7" s="8"/>
      <c r="F7" s="545"/>
      <c r="G7" s="545"/>
      <c r="H7" s="545"/>
      <c r="I7" s="545"/>
      <c r="J7" s="545"/>
      <c r="K7" s="547"/>
      <c r="L7" s="547"/>
      <c r="M7" s="547"/>
      <c r="N7" s="545"/>
      <c r="O7" s="545"/>
      <c r="P7" s="545"/>
      <c r="Q7" s="547"/>
      <c r="R7" s="545"/>
      <c r="S7" s="545"/>
      <c r="T7" s="545"/>
      <c r="U7" s="545"/>
      <c r="V7" s="545"/>
      <c r="W7" s="545"/>
      <c r="X7" s="545"/>
      <c r="Y7" s="545"/>
      <c r="Z7" s="545"/>
      <c r="AA7" s="545"/>
      <c r="AB7" s="545"/>
      <c r="AC7" s="546"/>
      <c r="AD7" s="546"/>
      <c r="AE7" s="546"/>
      <c r="AF7" s="545"/>
      <c r="AG7" s="545"/>
      <c r="AH7" s="545"/>
      <c r="AI7" s="545"/>
      <c r="AJ7" s="545"/>
      <c r="AK7" s="545"/>
      <c r="AL7" s="60"/>
      <c r="AM7" s="60"/>
      <c r="AN7" s="60"/>
      <c r="AO7" s="2"/>
      <c r="AP7" s="2"/>
      <c r="AQ7" s="2"/>
      <c r="AR7" s="2"/>
      <c r="AS7" s="2"/>
      <c r="AT7" s="2"/>
      <c r="AU7" s="2"/>
      <c r="AV7" s="2"/>
      <c r="AW7" s="2"/>
      <c r="AX7" s="2"/>
      <c r="AY7" s="2"/>
      <c r="AZ7" s="2"/>
      <c r="BA7" s="2"/>
      <c r="BB7" s="2"/>
      <c r="BC7" s="2"/>
      <c r="BD7" s="2"/>
      <c r="BE7" s="2"/>
      <c r="BF7" s="2"/>
    </row>
    <row r="8" spans="1:58" ht="10.5" customHeight="1">
      <c r="E8" s="8"/>
      <c r="F8" s="1419" t="s">
        <v>302</v>
      </c>
      <c r="G8" s="1420"/>
      <c r="H8" s="1420"/>
      <c r="I8" s="1420"/>
      <c r="J8" s="1420"/>
      <c r="K8" s="1420"/>
      <c r="L8" s="1420"/>
      <c r="M8" s="1420"/>
      <c r="N8" s="1420"/>
      <c r="O8" s="1420"/>
      <c r="P8" s="1420"/>
      <c r="Q8" s="1420"/>
      <c r="R8" s="1420"/>
      <c r="S8" s="1420"/>
      <c r="T8" s="1420"/>
      <c r="U8" s="1420"/>
      <c r="V8" s="1420"/>
      <c r="W8" s="1420"/>
      <c r="X8" s="1420"/>
      <c r="Y8" s="1420"/>
      <c r="Z8" s="1420"/>
      <c r="AA8" s="1420"/>
      <c r="AB8" s="1420"/>
      <c r="AC8" s="1420"/>
      <c r="AD8" s="1420"/>
      <c r="AE8" s="1420"/>
      <c r="AF8" s="1420"/>
      <c r="AG8" s="1420"/>
      <c r="AH8" s="1420"/>
      <c r="AI8" s="1420"/>
      <c r="AJ8" s="1420"/>
      <c r="AK8" s="1421"/>
      <c r="AL8" s="542"/>
      <c r="AM8" s="2"/>
      <c r="AN8" s="2"/>
      <c r="AO8" s="2"/>
      <c r="AP8" s="2"/>
      <c r="AQ8" s="2"/>
      <c r="AR8" s="2"/>
      <c r="AS8" s="2"/>
      <c r="AT8" s="2"/>
      <c r="AU8" s="2"/>
      <c r="AV8" s="2"/>
      <c r="AW8" s="2"/>
      <c r="AX8" s="2"/>
      <c r="AY8" s="2"/>
      <c r="AZ8" s="2"/>
      <c r="BA8" s="2"/>
      <c r="BB8" s="2"/>
      <c r="BC8" s="2"/>
      <c r="BD8" s="2"/>
      <c r="BE8" s="2"/>
      <c r="BF8" s="2"/>
    </row>
    <row r="9" spans="1:58" ht="23.25" customHeight="1">
      <c r="A9" s="541"/>
      <c r="B9" s="541"/>
      <c r="C9" s="541"/>
      <c r="E9" s="8"/>
      <c r="F9" s="1176" t="s">
        <v>1957</v>
      </c>
      <c r="G9" s="1342" t="s">
        <v>1958</v>
      </c>
      <c r="H9" s="1417"/>
      <c r="I9" s="1082" t="s">
        <v>1959</v>
      </c>
      <c r="J9" s="1082"/>
      <c r="K9" s="1082" t="s">
        <v>1960</v>
      </c>
      <c r="L9" s="1082"/>
      <c r="M9" s="1082"/>
      <c r="N9" s="1082"/>
      <c r="O9" s="1082"/>
      <c r="P9" s="1082"/>
      <c r="Q9" s="1082"/>
      <c r="R9" s="1082"/>
      <c r="S9" s="1082"/>
      <c r="T9" s="1082"/>
      <c r="U9" s="1082"/>
      <c r="V9" s="1082"/>
      <c r="W9" s="1082"/>
      <c r="X9" s="1082"/>
      <c r="Y9" s="1082"/>
      <c r="Z9" s="1146" t="s">
        <v>1961</v>
      </c>
      <c r="AA9" s="1147"/>
      <c r="AB9" s="1082" t="s">
        <v>1962</v>
      </c>
      <c r="AC9" s="1082"/>
      <c r="AD9" s="1082"/>
      <c r="AE9" s="1082"/>
      <c r="AF9" s="1145" t="s">
        <v>1963</v>
      </c>
      <c r="AG9" s="1082" t="s">
        <v>1964</v>
      </c>
      <c r="AH9" s="1082"/>
      <c r="AI9" s="1145" t="s">
        <v>1965</v>
      </c>
      <c r="AJ9" s="1082" t="s">
        <v>1966</v>
      </c>
      <c r="AK9" s="1082"/>
      <c r="AM9" s="2"/>
      <c r="AN9" s="2"/>
      <c r="AO9" s="2"/>
      <c r="AP9" s="2"/>
      <c r="AQ9" s="2"/>
      <c r="AR9" s="2"/>
      <c r="AS9" s="2"/>
      <c r="AT9" s="2"/>
      <c r="AU9" s="2"/>
      <c r="AV9" s="2"/>
      <c r="AW9" s="2"/>
      <c r="AX9" s="2"/>
      <c r="AY9" s="2"/>
      <c r="AZ9" s="2"/>
      <c r="BA9" s="2"/>
      <c r="BB9" s="2"/>
      <c r="BC9" s="2"/>
      <c r="BD9" s="2"/>
      <c r="BE9" s="2"/>
      <c r="BF9" s="2"/>
    </row>
    <row r="10" spans="1:58" ht="23.25" customHeight="1">
      <c r="A10" s="541"/>
      <c r="B10" s="541"/>
      <c r="C10" s="541"/>
      <c r="E10" s="8"/>
      <c r="F10" s="1176"/>
      <c r="G10" s="1343"/>
      <c r="H10" s="1177"/>
      <c r="I10" s="1082"/>
      <c r="J10" s="1082"/>
      <c r="K10" s="1082" t="s">
        <v>1967</v>
      </c>
      <c r="L10" s="1063" t="s">
        <v>1968</v>
      </c>
      <c r="M10" s="1062"/>
      <c r="N10" s="1082" t="s">
        <v>1969</v>
      </c>
      <c r="O10" s="1082"/>
      <c r="P10" s="1082"/>
      <c r="Q10" s="1082"/>
      <c r="R10" s="1082"/>
      <c r="S10" s="1082"/>
      <c r="T10" s="1082"/>
      <c r="U10" s="1082"/>
      <c r="V10" s="1082"/>
      <c r="W10" s="1082"/>
      <c r="X10" s="1082"/>
      <c r="Y10" s="1082"/>
      <c r="Z10" s="1148"/>
      <c r="AA10" s="1149"/>
      <c r="AB10" s="1082"/>
      <c r="AC10" s="1082"/>
      <c r="AD10" s="1082"/>
      <c r="AE10" s="1082"/>
      <c r="AF10" s="1150"/>
      <c r="AG10" s="1082"/>
      <c r="AH10" s="1082"/>
      <c r="AI10" s="1150"/>
      <c r="AJ10" s="1082"/>
      <c r="AK10" s="1082"/>
      <c r="AM10" s="2"/>
      <c r="AN10" s="2"/>
      <c r="AO10" s="2"/>
      <c r="AP10" s="2"/>
      <c r="AQ10" s="2"/>
      <c r="AR10" s="2"/>
      <c r="AS10" s="2"/>
      <c r="AT10" s="2"/>
      <c r="AU10" s="2"/>
      <c r="AV10" s="2"/>
      <c r="AW10" s="2"/>
      <c r="AX10" s="2"/>
      <c r="AY10" s="2"/>
      <c r="AZ10" s="2"/>
      <c r="BA10" s="2"/>
      <c r="BB10" s="2"/>
      <c r="BC10" s="2"/>
      <c r="BD10" s="2"/>
      <c r="BE10" s="2"/>
      <c r="BF10" s="2"/>
    </row>
    <row r="11" spans="1:58" s="9" customFormat="1" ht="23.25" customHeight="1">
      <c r="A11" s="541"/>
      <c r="B11" s="541"/>
      <c r="C11" s="541"/>
      <c r="D11" s="60"/>
      <c r="E11" s="8"/>
      <c r="F11" s="1176"/>
      <c r="G11" s="1343"/>
      <c r="H11" s="1177"/>
      <c r="I11" s="1082"/>
      <c r="J11" s="1082"/>
      <c r="K11" s="1082"/>
      <c r="L11" s="1145" t="s">
        <v>1970</v>
      </c>
      <c r="M11" s="1145" t="s">
        <v>1971</v>
      </c>
      <c r="N11" s="1082" t="s">
        <v>1972</v>
      </c>
      <c r="O11" s="1082"/>
      <c r="P11" s="1143" t="s">
        <v>1953</v>
      </c>
      <c r="Q11" s="1143" t="s">
        <v>1973</v>
      </c>
      <c r="R11" s="1143" t="s">
        <v>1974</v>
      </c>
      <c r="S11" s="1143" t="s">
        <v>1975</v>
      </c>
      <c r="T11" s="1143"/>
      <c r="U11" s="1143"/>
      <c r="V11" s="1143"/>
      <c r="W11" s="1143"/>
      <c r="X11" s="1143"/>
      <c r="Y11" s="1143"/>
      <c r="Z11" s="1148"/>
      <c r="AA11" s="1149"/>
      <c r="AB11" s="1082" t="s">
        <v>1976</v>
      </c>
      <c r="AC11" s="1082"/>
      <c r="AD11" s="1063" t="s">
        <v>1977</v>
      </c>
      <c r="AE11" s="1062"/>
      <c r="AF11" s="1150"/>
      <c r="AG11" s="1082"/>
      <c r="AH11" s="1082"/>
      <c r="AI11" s="1150"/>
      <c r="AJ11" s="1082"/>
      <c r="AK11" s="1082"/>
      <c r="AM11" s="2"/>
      <c r="AN11" s="2"/>
      <c r="AO11" s="2"/>
      <c r="AP11" s="2"/>
      <c r="AQ11" s="2"/>
      <c r="AR11" s="2"/>
      <c r="AS11" s="2"/>
      <c r="AT11" s="2"/>
      <c r="AU11" s="2"/>
      <c r="AV11" s="2"/>
      <c r="AW11" s="2"/>
      <c r="AX11" s="2"/>
      <c r="AY11" s="2"/>
      <c r="AZ11" s="2"/>
      <c r="BA11" s="2"/>
      <c r="BB11" s="2"/>
      <c r="BC11" s="2"/>
      <c r="BD11" s="2"/>
      <c r="BE11" s="2"/>
      <c r="BF11" s="2"/>
    </row>
    <row r="12" spans="1:58" ht="33.75" customHeight="1">
      <c r="A12" s="541"/>
      <c r="B12" s="541"/>
      <c r="C12" s="541"/>
      <c r="E12" s="8"/>
      <c r="F12" s="1176"/>
      <c r="G12" s="1344"/>
      <c r="H12" s="1418"/>
      <c r="I12" s="39" t="s">
        <v>89</v>
      </c>
      <c r="J12" s="39" t="s">
        <v>1978</v>
      </c>
      <c r="K12" s="1082"/>
      <c r="L12" s="1200"/>
      <c r="M12" s="1200"/>
      <c r="N12" s="1082"/>
      <c r="O12" s="1082"/>
      <c r="P12" s="1143"/>
      <c r="Q12" s="1143"/>
      <c r="R12" s="1143"/>
      <c r="S12" s="37" t="s">
        <v>86</v>
      </c>
      <c r="T12" s="37" t="s">
        <v>87</v>
      </c>
      <c r="U12" s="37" t="s">
        <v>85</v>
      </c>
      <c r="V12" s="37" t="s">
        <v>1979</v>
      </c>
      <c r="W12" s="37" t="s">
        <v>85</v>
      </c>
      <c r="X12" s="37" t="s">
        <v>1980</v>
      </c>
      <c r="Y12" s="37" t="s">
        <v>1981</v>
      </c>
      <c r="Z12" s="1151"/>
      <c r="AA12" s="1152"/>
      <c r="AB12" s="39" t="s">
        <v>1982</v>
      </c>
      <c r="AC12" s="39" t="s">
        <v>1983</v>
      </c>
      <c r="AD12" s="39" t="s">
        <v>1982</v>
      </c>
      <c r="AE12" s="39" t="s">
        <v>1983</v>
      </c>
      <c r="AF12" s="1200"/>
      <c r="AG12" s="39" t="s">
        <v>1984</v>
      </c>
      <c r="AH12" s="39" t="s">
        <v>1985</v>
      </c>
      <c r="AI12" s="1200"/>
      <c r="AJ12" s="39" t="s">
        <v>1984</v>
      </c>
      <c r="AK12" s="39" t="s">
        <v>1985</v>
      </c>
      <c r="AM12" s="2"/>
      <c r="AN12" s="2"/>
      <c r="AO12" s="2"/>
      <c r="AP12" s="2"/>
      <c r="AQ12" s="2"/>
      <c r="AR12" s="2"/>
      <c r="AS12" s="2"/>
      <c r="AT12" s="2"/>
      <c r="AU12" s="2"/>
      <c r="AV12" s="2"/>
      <c r="AW12" s="2"/>
      <c r="AX12" s="2"/>
      <c r="AY12" s="2"/>
      <c r="AZ12" s="2"/>
      <c r="BA12" s="2"/>
      <c r="BB12" s="2"/>
      <c r="BC12" s="2"/>
      <c r="BD12" s="2"/>
      <c r="BE12" s="2"/>
      <c r="BF12" s="2"/>
    </row>
    <row r="13" spans="1:58" ht="0.75" customHeight="1">
      <c r="E13" s="8"/>
      <c r="F13" s="8">
        <v>0</v>
      </c>
      <c r="G13" s="8"/>
      <c r="H13" s="8"/>
      <c r="I13" s="8"/>
      <c r="J13" s="8"/>
      <c r="AL13" s="542"/>
      <c r="AM13" s="2"/>
      <c r="AN13" s="2"/>
      <c r="AO13" s="2"/>
      <c r="AP13" s="2"/>
      <c r="AQ13" s="2"/>
      <c r="AR13" s="2"/>
      <c r="AS13" s="2"/>
      <c r="AT13" s="2"/>
      <c r="AU13" s="2"/>
      <c r="AV13" s="2"/>
      <c r="AW13" s="2"/>
      <c r="AX13" s="2"/>
      <c r="AY13" s="2"/>
      <c r="AZ13" s="2"/>
      <c r="BA13" s="2"/>
      <c r="BB13" s="2"/>
      <c r="BC13" s="2"/>
      <c r="BD13" s="2"/>
      <c r="BE13" s="2"/>
      <c r="BF13" s="2"/>
    </row>
    <row r="14" spans="1:58" ht="10.5" customHeight="1">
      <c r="E14" s="2"/>
      <c r="AL14" s="2"/>
      <c r="AM14" s="2"/>
      <c r="AN14" s="2"/>
      <c r="AO14" s="2"/>
      <c r="AP14" s="2"/>
      <c r="AQ14" s="2"/>
      <c r="AR14" s="2"/>
      <c r="AS14" s="2"/>
      <c r="AT14" s="2"/>
      <c r="AU14" s="2"/>
      <c r="AV14" s="2"/>
      <c r="AW14" s="2"/>
      <c r="AX14" s="2"/>
      <c r="AY14" s="2"/>
      <c r="AZ14" s="2"/>
      <c r="BA14" s="2"/>
      <c r="BB14" s="2"/>
      <c r="BC14" s="2"/>
      <c r="BD14" s="2"/>
      <c r="BE14" s="2"/>
      <c r="BF14" s="2"/>
    </row>
    <row r="15" spans="1:58" ht="12.75" customHeight="1">
      <c r="E15" s="2"/>
      <c r="F15" s="15" t="s">
        <v>1986</v>
      </c>
      <c r="G15" s="15"/>
      <c r="H15" s="15"/>
      <c r="I15" s="15"/>
      <c r="J15" s="15"/>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row>
    <row r="17" spans="5:58" ht="10.5" customHeight="1">
      <c r="E17" s="2"/>
      <c r="F17" s="1416"/>
      <c r="G17" s="1416"/>
      <c r="H17" s="1416"/>
      <c r="I17" s="1416"/>
      <c r="J17" s="1416"/>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row>
    <row r="18" spans="5:58" ht="10.5" customHeight="1">
      <c r="E18" s="2"/>
      <c r="F18" s="1416"/>
      <c r="G18" s="1416"/>
      <c r="H18" s="1416"/>
      <c r="I18" s="1416"/>
      <c r="J18" s="1416"/>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row>
    <row r="19" spans="5:58" ht="10.5" customHeight="1">
      <c r="E19" s="2"/>
      <c r="F19" s="1416"/>
      <c r="G19" s="1416"/>
      <c r="H19" s="1416"/>
      <c r="I19" s="1416"/>
      <c r="J19" s="1416"/>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EFBE6-4AF1-B351-E6D7-B49935777E99}">
  <sheetPr>
    <tabColor theme="9" tint="-0.249977111117893"/>
  </sheetPr>
  <dimension ref="A1:V58"/>
  <sheetViews>
    <sheetView showGridLines="0" topLeftCell="E4" zoomScale="85" workbookViewId="0"/>
  </sheetViews>
  <sheetFormatPr defaultColWidth="9.140625" defaultRowHeight="10.5" customHeight="1"/>
  <cols>
    <col min="1" max="3" width="4.140625" style="314" hidden="1" customWidth="1"/>
    <col min="4" max="4" width="4.140625" style="60" hidden="1" customWidth="1"/>
    <col min="5" max="5" width="3.7109375" style="9" customWidth="1"/>
    <col min="6" max="6" width="6.28515625" style="9" customWidth="1"/>
    <col min="7" max="7" width="60.140625" style="9" customWidth="1"/>
    <col min="8" max="9" width="21.7109375" style="9" hidden="1" customWidth="1"/>
    <col min="10" max="10" width="0.140625" style="9" customWidth="1"/>
    <col min="11" max="11" width="1.7109375" style="9" customWidth="1"/>
    <col min="12" max="22" width="9.140625" style="9"/>
  </cols>
  <sheetData>
    <row r="1" spans="1:22" s="60" customFormat="1" ht="10.5" hidden="1" customHeight="1">
      <c r="A1" s="314"/>
      <c r="B1" s="314"/>
      <c r="C1" s="314"/>
    </row>
    <row r="2" spans="1:22" ht="10.5" hidden="1" customHeight="1"/>
    <row r="3" spans="1:22" s="6" customFormat="1" ht="10.5" hidden="1" customHeight="1">
      <c r="A3" s="314"/>
      <c r="B3" s="314"/>
      <c r="C3" s="314"/>
      <c r="D3" s="60"/>
    </row>
    <row r="4" spans="1:22" ht="3" customHeight="1"/>
    <row r="5" spans="1:22" ht="30" customHeight="1">
      <c r="F5" s="1312" t="s">
        <v>1987</v>
      </c>
      <c r="G5" s="1312"/>
      <c r="H5" s="1312"/>
      <c r="I5" s="1312"/>
      <c r="J5" s="1312"/>
    </row>
    <row r="6" spans="1:22" ht="10.5" customHeight="1">
      <c r="F6" s="1178" t="str">
        <f>IF(org=0,"Не определено",org)</f>
        <v>ООО "Концессионная Коммунальная Компания"</v>
      </c>
      <c r="G6" s="1178"/>
      <c r="H6" s="1178"/>
      <c r="I6" s="1178"/>
      <c r="J6" s="1178"/>
    </row>
    <row r="7" spans="1:22" ht="11.25" customHeight="1">
      <c r="E7" s="8"/>
      <c r="F7" s="726"/>
      <c r="G7" s="726"/>
      <c r="H7" s="726"/>
      <c r="I7" s="726"/>
      <c r="J7" s="726"/>
      <c r="K7" s="2"/>
      <c r="L7" s="2"/>
      <c r="M7" s="2"/>
      <c r="N7" s="2"/>
      <c r="O7" s="2"/>
      <c r="P7" s="2"/>
      <c r="Q7" s="2"/>
      <c r="R7" s="2"/>
      <c r="S7" s="2"/>
      <c r="T7" s="2"/>
      <c r="U7" s="2"/>
      <c r="V7" s="2"/>
    </row>
    <row r="8" spans="1:22" s="65" customFormat="1" ht="5.25" customHeight="1">
      <c r="A8" s="323"/>
      <c r="B8" s="323"/>
      <c r="C8" s="323"/>
      <c r="E8" s="101"/>
      <c r="F8" s="727"/>
      <c r="G8" s="727"/>
      <c r="H8" s="727"/>
      <c r="I8" s="727"/>
      <c r="J8" s="727"/>
      <c r="K8" s="101"/>
      <c r="L8" s="101"/>
      <c r="M8" s="101"/>
      <c r="N8" s="101"/>
      <c r="O8" s="101"/>
      <c r="P8" s="101"/>
      <c r="Q8" s="101"/>
      <c r="R8" s="101"/>
      <c r="S8" s="101"/>
      <c r="T8" s="101"/>
      <c r="U8" s="101"/>
      <c r="V8" s="101"/>
    </row>
    <row r="9" spans="1:22" ht="10.5" customHeight="1">
      <c r="E9" s="8"/>
      <c r="F9" s="1422" t="s">
        <v>302</v>
      </c>
      <c r="G9" s="1423"/>
      <c r="H9" s="1423"/>
      <c r="I9" s="1423"/>
      <c r="J9" s="1423"/>
      <c r="K9" s="734"/>
      <c r="L9" s="2"/>
      <c r="M9" s="2"/>
      <c r="N9" s="2"/>
      <c r="O9" s="2"/>
      <c r="P9" s="2"/>
      <c r="Q9" s="2"/>
      <c r="R9" s="2"/>
      <c r="S9" s="2"/>
      <c r="T9" s="2"/>
      <c r="U9" s="2"/>
      <c r="V9" s="2"/>
    </row>
    <row r="10" spans="1:22" ht="24" customHeight="1">
      <c r="E10" s="2"/>
      <c r="F10" s="1426" t="s">
        <v>88</v>
      </c>
      <c r="G10" s="1430" t="s">
        <v>1988</v>
      </c>
      <c r="H10" s="1414" t="s">
        <v>1989</v>
      </c>
      <c r="I10" s="1414"/>
      <c r="J10" s="1414"/>
      <c r="K10" s="729"/>
      <c r="L10" s="2"/>
      <c r="M10" s="2"/>
      <c r="N10" s="2"/>
      <c r="O10" s="2"/>
      <c r="P10" s="2"/>
      <c r="Q10" s="2"/>
      <c r="R10" s="2"/>
      <c r="S10" s="2"/>
      <c r="T10" s="2"/>
      <c r="U10" s="2"/>
      <c r="V10" s="2"/>
    </row>
    <row r="11" spans="1:22" ht="24" customHeight="1">
      <c r="E11" s="2"/>
      <c r="F11" s="1427"/>
      <c r="G11" s="1430"/>
      <c r="H11" s="1429" t="e">
        <f>INDEX(IP_MAIN_LIST_NAME_IP,MATCH(H8,IP_MAIN_LIST_IP_ID,0))&amp;" ("&amp;INDEX(IP_MAIN_START_DATE,MATCH(H8,IP_MAIN_LIST_IP_ID,0))&amp;"-"&amp;INDEX(IP_MAIN_END_DATE,MATCH(H8,IP_MAIN_LIST_IP_ID,0))&amp;")"</f>
        <v>#N/A</v>
      </c>
      <c r="I11" s="1429"/>
      <c r="J11" s="1429"/>
      <c r="K11" s="729"/>
      <c r="L11" s="2"/>
      <c r="M11" s="2"/>
      <c r="N11" s="2"/>
      <c r="O11" s="2"/>
      <c r="P11" s="2"/>
      <c r="Q11" s="2"/>
      <c r="R11" s="2"/>
      <c r="S11" s="2"/>
      <c r="T11" s="2"/>
      <c r="U11" s="2"/>
      <c r="V11" s="2"/>
    </row>
    <row r="12" spans="1:22" ht="10.5" customHeight="1">
      <c r="F12" s="1428"/>
      <c r="G12" s="1430"/>
      <c r="H12" s="145" t="s">
        <v>1990</v>
      </c>
      <c r="I12" s="728"/>
      <c r="J12" s="145"/>
      <c r="K12" s="730"/>
    </row>
    <row r="13" spans="1:22" ht="10.5" hidden="1" customHeight="1">
      <c r="F13" s="145">
        <v>1</v>
      </c>
      <c r="G13" s="145">
        <v>2</v>
      </c>
      <c r="H13" s="145">
        <v>3</v>
      </c>
      <c r="I13" s="145">
        <v>4</v>
      </c>
      <c r="J13" s="145">
        <v>5</v>
      </c>
      <c r="K13" s="730"/>
    </row>
    <row r="14" spans="1:22" ht="11.25" customHeight="1">
      <c r="F14" s="255" t="s">
        <v>1081</v>
      </c>
      <c r="G14" s="1424" t="s">
        <v>1991</v>
      </c>
      <c r="H14" s="1424"/>
      <c r="I14" s="1424"/>
      <c r="J14" s="1424"/>
      <c r="K14" s="730"/>
    </row>
    <row r="15" spans="1:22" ht="11.25" customHeight="1">
      <c r="F15" s="145">
        <v>1</v>
      </c>
      <c r="G15" s="402" t="s">
        <v>1992</v>
      </c>
      <c r="H15" s="373">
        <f t="shared" ref="H15:H36" si="0">SUM(I15:J15)</f>
        <v>0</v>
      </c>
      <c r="I15" s="373">
        <f>SUM(I16:I27)</f>
        <v>0</v>
      </c>
      <c r="J15" s="255"/>
      <c r="K15" s="730"/>
    </row>
    <row r="16" spans="1:22" ht="22.5" customHeight="1">
      <c r="F16" s="145" t="s">
        <v>440</v>
      </c>
      <c r="G16" s="732" t="s">
        <v>1029</v>
      </c>
      <c r="H16" s="373">
        <f t="shared" si="0"/>
        <v>0</v>
      </c>
      <c r="I16" s="731"/>
      <c r="J16" s="255"/>
      <c r="K16" s="730"/>
    </row>
    <row r="17" spans="6:11" ht="22.5" customHeight="1">
      <c r="F17" s="145" t="s">
        <v>455</v>
      </c>
      <c r="G17" s="732" t="s">
        <v>1034</v>
      </c>
      <c r="H17" s="373">
        <f t="shared" si="0"/>
        <v>0</v>
      </c>
      <c r="I17" s="731"/>
      <c r="J17" s="255"/>
      <c r="K17" s="730"/>
    </row>
    <row r="18" spans="6:11" ht="33.75" customHeight="1">
      <c r="F18" s="145" t="s">
        <v>458</v>
      </c>
      <c r="G18" s="732" t="s">
        <v>1021</v>
      </c>
      <c r="H18" s="373">
        <f t="shared" si="0"/>
        <v>0</v>
      </c>
      <c r="I18" s="731"/>
      <c r="J18" s="255"/>
      <c r="K18" s="730"/>
    </row>
    <row r="19" spans="6:11" ht="33.75" customHeight="1">
      <c r="F19" s="145" t="s">
        <v>1993</v>
      </c>
      <c r="G19" s="732" t="s">
        <v>1060</v>
      </c>
      <c r="H19" s="373">
        <f t="shared" si="0"/>
        <v>0</v>
      </c>
      <c r="I19" s="731"/>
      <c r="J19" s="255"/>
      <c r="K19" s="730"/>
    </row>
    <row r="20" spans="6:11" ht="45" customHeight="1">
      <c r="F20" s="145" t="s">
        <v>1994</v>
      </c>
      <c r="G20" s="732" t="s">
        <v>1064</v>
      </c>
      <c r="H20" s="373">
        <f t="shared" si="0"/>
        <v>0</v>
      </c>
      <c r="I20" s="731"/>
      <c r="J20" s="255"/>
      <c r="K20" s="730"/>
    </row>
    <row r="21" spans="6:11" ht="33.75" customHeight="1">
      <c r="F21" s="145" t="s">
        <v>1995</v>
      </c>
      <c r="G21" s="732" t="s">
        <v>1071</v>
      </c>
      <c r="H21" s="373">
        <f t="shared" si="0"/>
        <v>0</v>
      </c>
      <c r="I21" s="731"/>
      <c r="J21" s="255"/>
      <c r="K21" s="730"/>
    </row>
    <row r="22" spans="6:11" ht="33.75" customHeight="1">
      <c r="F22" s="145" t="s">
        <v>1996</v>
      </c>
      <c r="G22" s="732" t="s">
        <v>1078</v>
      </c>
      <c r="H22" s="373">
        <f t="shared" si="0"/>
        <v>0</v>
      </c>
      <c r="I22" s="731"/>
      <c r="J22" s="255"/>
      <c r="K22" s="730"/>
    </row>
    <row r="23" spans="6:11" ht="22.5" customHeight="1">
      <c r="F23" s="145" t="s">
        <v>1997</v>
      </c>
      <c r="G23" s="732" t="s">
        <v>1083</v>
      </c>
      <c r="H23" s="373">
        <f t="shared" si="0"/>
        <v>0</v>
      </c>
      <c r="I23" s="731"/>
      <c r="J23" s="255"/>
      <c r="K23" s="730"/>
    </row>
    <row r="24" spans="6:11" ht="22.5" customHeight="1">
      <c r="F24" s="145" t="s">
        <v>1998</v>
      </c>
      <c r="G24" s="732" t="s">
        <v>1055</v>
      </c>
      <c r="H24" s="373">
        <f t="shared" si="0"/>
        <v>0</v>
      </c>
      <c r="I24" s="731"/>
      <c r="J24" s="255"/>
      <c r="K24" s="730"/>
    </row>
    <row r="25" spans="6:11" ht="33.75" customHeight="1">
      <c r="F25" s="145" t="s">
        <v>1999</v>
      </c>
      <c r="G25" s="732" t="s">
        <v>1122</v>
      </c>
      <c r="H25" s="373">
        <f t="shared" si="0"/>
        <v>0</v>
      </c>
      <c r="I25" s="731"/>
      <c r="J25" s="255"/>
      <c r="K25" s="730"/>
    </row>
    <row r="26" spans="6:11" ht="33.75" customHeight="1">
      <c r="F26" s="145" t="s">
        <v>2000</v>
      </c>
      <c r="G26" s="732" t="s">
        <v>1124</v>
      </c>
      <c r="H26" s="373">
        <f t="shared" si="0"/>
        <v>0</v>
      </c>
      <c r="I26" s="731"/>
      <c r="J26" s="255"/>
      <c r="K26" s="730"/>
    </row>
    <row r="27" spans="6:11" ht="11.25" customHeight="1">
      <c r="F27" s="145" t="s">
        <v>2001</v>
      </c>
      <c r="G27" s="732" t="s">
        <v>1033</v>
      </c>
      <c r="H27" s="373">
        <f t="shared" si="0"/>
        <v>0</v>
      </c>
      <c r="I27" s="731"/>
      <c r="J27" s="255"/>
      <c r="K27" s="730"/>
    </row>
    <row r="28" spans="6:11" ht="11.25" customHeight="1">
      <c r="F28" s="145">
        <v>2</v>
      </c>
      <c r="G28" s="402" t="s">
        <v>2002</v>
      </c>
      <c r="H28" s="373">
        <f t="shared" si="0"/>
        <v>0</v>
      </c>
      <c r="I28" s="373">
        <f>SUM(I29:I31)</f>
        <v>0</v>
      </c>
      <c r="J28" s="255"/>
      <c r="K28" s="730"/>
    </row>
    <row r="29" spans="6:11" ht="11.25" customHeight="1">
      <c r="F29" s="145" t="s">
        <v>465</v>
      </c>
      <c r="G29" s="732" t="s">
        <v>2003</v>
      </c>
      <c r="H29" s="373">
        <f t="shared" si="0"/>
        <v>0</v>
      </c>
      <c r="I29" s="731"/>
      <c r="J29" s="255"/>
      <c r="K29" s="730"/>
    </row>
    <row r="30" spans="6:11" ht="11.25" customHeight="1">
      <c r="F30" s="145" t="s">
        <v>309</v>
      </c>
      <c r="G30" s="732" t="s">
        <v>1030</v>
      </c>
      <c r="H30" s="373">
        <f t="shared" si="0"/>
        <v>0</v>
      </c>
      <c r="I30" s="731"/>
      <c r="J30" s="255"/>
      <c r="K30" s="730"/>
    </row>
    <row r="31" spans="6:11" ht="11.25" customHeight="1">
      <c r="F31" s="145" t="s">
        <v>312</v>
      </c>
      <c r="G31" s="732" t="s">
        <v>1077</v>
      </c>
      <c r="H31" s="373">
        <f t="shared" si="0"/>
        <v>0</v>
      </c>
      <c r="I31" s="731"/>
      <c r="J31" s="255"/>
      <c r="K31" s="730"/>
    </row>
    <row r="32" spans="6:11" ht="11.25" customHeight="1">
      <c r="F32" s="145">
        <v>3</v>
      </c>
      <c r="G32" s="402" t="s">
        <v>2004</v>
      </c>
      <c r="H32" s="373">
        <f t="shared" si="0"/>
        <v>0</v>
      </c>
      <c r="I32" s="373">
        <f>SUM(I33:I34)</f>
        <v>0</v>
      </c>
      <c r="J32" s="255"/>
      <c r="K32" s="730"/>
    </row>
    <row r="33" spans="6:11" ht="33.75" customHeight="1">
      <c r="F33" s="145" t="s">
        <v>328</v>
      </c>
      <c r="G33" s="732" t="s">
        <v>2005</v>
      </c>
      <c r="H33" s="373">
        <f t="shared" si="0"/>
        <v>0</v>
      </c>
      <c r="I33" s="731"/>
      <c r="J33" s="255"/>
      <c r="K33" s="730"/>
    </row>
    <row r="34" spans="6:11" ht="11.25" customHeight="1">
      <c r="F34" s="145" t="s">
        <v>336</v>
      </c>
      <c r="G34" s="732" t="s">
        <v>2006</v>
      </c>
      <c r="H34" s="373">
        <f t="shared" si="0"/>
        <v>0</v>
      </c>
      <c r="I34" s="731"/>
      <c r="J34" s="255"/>
      <c r="K34" s="730"/>
    </row>
    <row r="35" spans="6:11" ht="11.25" customHeight="1">
      <c r="F35" s="145">
        <v>4</v>
      </c>
      <c r="G35" s="402" t="s">
        <v>2007</v>
      </c>
      <c r="H35" s="373">
        <f t="shared" si="0"/>
        <v>0</v>
      </c>
      <c r="I35" s="731"/>
      <c r="J35" s="255"/>
      <c r="K35" s="730"/>
    </row>
    <row r="36" spans="6:11" ht="11.25" customHeight="1">
      <c r="F36" s="145"/>
      <c r="G36" s="187" t="s">
        <v>2008</v>
      </c>
      <c r="H36" s="373">
        <f t="shared" si="0"/>
        <v>0</v>
      </c>
      <c r="I36" s="373">
        <f>SUM(I15,I28,I32,I35)</f>
        <v>0</v>
      </c>
      <c r="J36" s="255"/>
      <c r="K36" s="730"/>
    </row>
    <row r="37" spans="6:11" ht="27.75" customHeight="1">
      <c r="F37" s="255" t="s">
        <v>1212</v>
      </c>
      <c r="G37" s="1425" t="s">
        <v>2009</v>
      </c>
      <c r="H37" s="1425"/>
      <c r="I37" s="1425"/>
      <c r="J37" s="1425"/>
      <c r="K37" s="730"/>
    </row>
    <row r="38" spans="6:11" ht="22.5" customHeight="1">
      <c r="F38" s="145" t="s">
        <v>119</v>
      </c>
      <c r="G38" s="402" t="s">
        <v>2010</v>
      </c>
      <c r="H38" s="373">
        <f t="shared" ref="H38:H58" si="1">SUM(I38:J38)</f>
        <v>0</v>
      </c>
      <c r="I38" s="373">
        <f>SUM(I39,I44,I47)</f>
        <v>0</v>
      </c>
      <c r="J38" s="255"/>
      <c r="K38" s="730"/>
    </row>
    <row r="39" spans="6:11" ht="11.25" customHeight="1">
      <c r="F39" s="145" t="s">
        <v>440</v>
      </c>
      <c r="G39" s="732" t="s">
        <v>1992</v>
      </c>
      <c r="H39" s="373">
        <f t="shared" si="1"/>
        <v>0</v>
      </c>
      <c r="I39" s="373">
        <f>SUM(I40:I43)</f>
        <v>0</v>
      </c>
      <c r="J39" s="255"/>
      <c r="K39" s="730"/>
    </row>
    <row r="40" spans="6:11" ht="22.5" customHeight="1">
      <c r="F40" s="145" t="s">
        <v>453</v>
      </c>
      <c r="G40" s="733" t="s">
        <v>2011</v>
      </c>
      <c r="H40" s="373">
        <f t="shared" si="1"/>
        <v>0</v>
      </c>
      <c r="I40" s="731"/>
      <c r="J40" s="255"/>
      <c r="K40" s="730"/>
    </row>
    <row r="41" spans="6:11" ht="11.25" customHeight="1">
      <c r="F41" s="145" t="s">
        <v>2012</v>
      </c>
      <c r="G41" s="733" t="s">
        <v>1022</v>
      </c>
      <c r="H41" s="373">
        <f t="shared" si="1"/>
        <v>0</v>
      </c>
      <c r="I41" s="731"/>
      <c r="J41" s="255"/>
      <c r="K41" s="730"/>
    </row>
    <row r="42" spans="6:11" ht="11.25" customHeight="1">
      <c r="F42" s="145" t="s">
        <v>2013</v>
      </c>
      <c r="G42" s="733" t="s">
        <v>2014</v>
      </c>
      <c r="H42" s="373">
        <f t="shared" si="1"/>
        <v>0</v>
      </c>
      <c r="I42" s="731"/>
      <c r="J42" s="255"/>
      <c r="K42" s="730"/>
    </row>
    <row r="43" spans="6:11" ht="33.75" customHeight="1">
      <c r="F43" s="145" t="s">
        <v>2015</v>
      </c>
      <c r="G43" s="733" t="s">
        <v>2016</v>
      </c>
      <c r="H43" s="373">
        <f t="shared" si="1"/>
        <v>0</v>
      </c>
      <c r="I43" s="731"/>
      <c r="J43" s="255"/>
      <c r="K43" s="730"/>
    </row>
    <row r="44" spans="6:11" ht="11.25" customHeight="1">
      <c r="F44" s="145" t="s">
        <v>455</v>
      </c>
      <c r="G44" s="732" t="s">
        <v>2004</v>
      </c>
      <c r="H44" s="373">
        <f t="shared" si="1"/>
        <v>0</v>
      </c>
      <c r="I44" s="373">
        <f>SUM(I45:I46)</f>
        <v>0</v>
      </c>
      <c r="J44" s="255"/>
      <c r="K44" s="730"/>
    </row>
    <row r="45" spans="6:11" ht="45" customHeight="1">
      <c r="F45" s="145" t="s">
        <v>456</v>
      </c>
      <c r="G45" s="733" t="s">
        <v>2005</v>
      </c>
      <c r="H45" s="373">
        <f t="shared" si="1"/>
        <v>0</v>
      </c>
      <c r="I45" s="731"/>
      <c r="J45" s="255"/>
      <c r="K45" s="730"/>
    </row>
    <row r="46" spans="6:11" ht="11.25" customHeight="1">
      <c r="F46" s="145" t="s">
        <v>2017</v>
      </c>
      <c r="G46" s="733" t="s">
        <v>2006</v>
      </c>
      <c r="H46" s="373">
        <f t="shared" si="1"/>
        <v>0</v>
      </c>
      <c r="I46" s="731"/>
      <c r="J46" s="255"/>
      <c r="K46" s="730"/>
    </row>
    <row r="47" spans="6:11" ht="11.25" customHeight="1">
      <c r="F47" s="145" t="s">
        <v>458</v>
      </c>
      <c r="G47" s="732" t="s">
        <v>2018</v>
      </c>
      <c r="H47" s="373">
        <f t="shared" si="1"/>
        <v>0</v>
      </c>
      <c r="I47" s="731"/>
      <c r="J47" s="255"/>
      <c r="K47" s="730"/>
    </row>
    <row r="48" spans="6:11" ht="22.5" customHeight="1">
      <c r="F48" s="145" t="s">
        <v>103</v>
      </c>
      <c r="G48" s="402" t="s">
        <v>2019</v>
      </c>
      <c r="H48" s="373">
        <f t="shared" si="1"/>
        <v>0</v>
      </c>
      <c r="I48" s="373">
        <f>SUM(I49,I54,I57)</f>
        <v>0</v>
      </c>
      <c r="J48" s="255"/>
      <c r="K48" s="730"/>
    </row>
    <row r="49" spans="6:11" ht="11.25" customHeight="1">
      <c r="F49" s="145" t="s">
        <v>465</v>
      </c>
      <c r="G49" s="732" t="s">
        <v>1992</v>
      </c>
      <c r="H49" s="373">
        <f t="shared" si="1"/>
        <v>0</v>
      </c>
      <c r="I49" s="373">
        <f>SUM(I50:I53)</f>
        <v>0</v>
      </c>
      <c r="J49" s="255"/>
      <c r="K49" s="730"/>
    </row>
    <row r="50" spans="6:11" ht="22.5" customHeight="1">
      <c r="F50" s="145" t="s">
        <v>467</v>
      </c>
      <c r="G50" s="733" t="s">
        <v>2011</v>
      </c>
      <c r="H50" s="373">
        <f t="shared" si="1"/>
        <v>0</v>
      </c>
      <c r="I50" s="731"/>
      <c r="J50" s="255"/>
      <c r="K50" s="730"/>
    </row>
    <row r="51" spans="6:11" ht="11.25" customHeight="1">
      <c r="F51" s="145" t="s">
        <v>1775</v>
      </c>
      <c r="G51" s="733" t="s">
        <v>1022</v>
      </c>
      <c r="H51" s="373">
        <f t="shared" si="1"/>
        <v>0</v>
      </c>
      <c r="I51" s="731"/>
      <c r="J51" s="255"/>
      <c r="K51" s="730"/>
    </row>
    <row r="52" spans="6:11" ht="11.25" customHeight="1">
      <c r="F52" s="145" t="s">
        <v>2020</v>
      </c>
      <c r="G52" s="733" t="s">
        <v>2014</v>
      </c>
      <c r="H52" s="373">
        <f t="shared" si="1"/>
        <v>0</v>
      </c>
      <c r="I52" s="731"/>
      <c r="J52" s="255"/>
      <c r="K52" s="730"/>
    </row>
    <row r="53" spans="6:11" ht="33.75" customHeight="1">
      <c r="F53" s="145" t="s">
        <v>2021</v>
      </c>
      <c r="G53" s="733" t="s">
        <v>2016</v>
      </c>
      <c r="H53" s="373">
        <f t="shared" si="1"/>
        <v>0</v>
      </c>
      <c r="I53" s="731"/>
      <c r="J53" s="255"/>
      <c r="K53" s="730"/>
    </row>
    <row r="54" spans="6:11" ht="11.25" customHeight="1">
      <c r="F54" s="145" t="s">
        <v>309</v>
      </c>
      <c r="G54" s="732" t="s">
        <v>2004</v>
      </c>
      <c r="H54" s="373">
        <f t="shared" si="1"/>
        <v>0</v>
      </c>
      <c r="I54" s="373">
        <f>SUM(I55:I56)</f>
        <v>0</v>
      </c>
      <c r="J54" s="255"/>
      <c r="K54" s="730"/>
    </row>
    <row r="55" spans="6:11" ht="45" customHeight="1">
      <c r="F55" s="145" t="s">
        <v>1380</v>
      </c>
      <c r="G55" s="733" t="s">
        <v>2005</v>
      </c>
      <c r="H55" s="373">
        <f t="shared" si="1"/>
        <v>0</v>
      </c>
      <c r="I55" s="731"/>
      <c r="J55" s="255"/>
      <c r="K55" s="730"/>
    </row>
    <row r="56" spans="6:11" ht="11.25" customHeight="1">
      <c r="F56" s="145" t="s">
        <v>1385</v>
      </c>
      <c r="G56" s="733" t="s">
        <v>2006</v>
      </c>
      <c r="H56" s="373">
        <f t="shared" si="1"/>
        <v>0</v>
      </c>
      <c r="I56" s="731"/>
      <c r="J56" s="255"/>
      <c r="K56" s="730"/>
    </row>
    <row r="57" spans="6:11" ht="11.25" customHeight="1">
      <c r="F57" s="145" t="s">
        <v>312</v>
      </c>
      <c r="G57" s="732" t="s">
        <v>2018</v>
      </c>
      <c r="H57" s="373">
        <f t="shared" si="1"/>
        <v>0</v>
      </c>
      <c r="I57" s="731"/>
      <c r="J57" s="255"/>
      <c r="K57" s="730"/>
    </row>
    <row r="58" spans="6:11" ht="11.25" customHeight="1">
      <c r="F58" s="145"/>
      <c r="G58" s="524" t="s">
        <v>2008</v>
      </c>
      <c r="H58" s="373">
        <f t="shared" si="1"/>
        <v>0</v>
      </c>
      <c r="I58" s="373">
        <f>SUM(I38,I48)</f>
        <v>0</v>
      </c>
      <c r="J58" s="255"/>
      <c r="K58" s="730"/>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E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3019F-109E-1DFB-09BA-6621F02E60DB}">
  <sheetPr>
    <tabColor theme="9" tint="-0.249977111117893"/>
  </sheetPr>
  <dimension ref="A1:GB24"/>
  <sheetViews>
    <sheetView showGridLines="0" topLeftCell="E4" zoomScale="90" workbookViewId="0"/>
  </sheetViews>
  <sheetFormatPr defaultColWidth="9.140625" defaultRowHeight="12" customHeight="1"/>
  <cols>
    <col min="1" max="1" width="4.7109375" style="550" hidden="1" customWidth="1"/>
    <col min="2" max="2" width="4.7109375" style="551" hidden="1" customWidth="1"/>
    <col min="3" max="4" width="4.7109375" style="550" hidden="1" customWidth="1"/>
    <col min="5" max="5" width="3.5703125" style="550" customWidth="1"/>
    <col min="6" max="6" width="6.7109375" style="550" customWidth="1"/>
    <col min="7" max="7" width="18.7109375" style="550" customWidth="1"/>
    <col min="8" max="8" width="27.28515625" style="550" customWidth="1"/>
    <col min="9" max="9" width="18.7109375" style="550" customWidth="1"/>
    <col min="10" max="14" width="0.85546875" style="550" hidden="1" customWidth="1"/>
    <col min="15" max="28" width="21.7109375" style="550" hidden="1" customWidth="1"/>
    <col min="29" max="71" width="0.85546875" style="550" hidden="1" customWidth="1"/>
    <col min="72" max="79" width="21.7109375" style="550" customWidth="1"/>
    <col min="80" max="81" width="29.140625" style="550" customWidth="1"/>
    <col min="82" max="89" width="21.7109375" style="550" customWidth="1"/>
    <col min="90" max="102" width="0.7109375" style="550" customWidth="1"/>
    <col min="103" max="114" width="21.7109375" style="550" hidden="1" customWidth="1"/>
    <col min="115" max="178" width="0.7109375" style="550" hidden="1" customWidth="1"/>
    <col min="179" max="179" width="0.140625" style="550" customWidth="1"/>
    <col min="180" max="184" width="9.140625" style="550"/>
  </cols>
  <sheetData>
    <row r="1" spans="2:180" s="548" customFormat="1" ht="12" hidden="1" customHeight="1">
      <c r="B1" s="549"/>
    </row>
    <row r="2" spans="2:180" s="548" customFormat="1" ht="12" hidden="1" customHeight="1">
      <c r="B2" s="549"/>
    </row>
    <row r="3" spans="2:180" s="548" customFormat="1" ht="12" hidden="1" customHeight="1">
      <c r="B3" s="549"/>
    </row>
    <row r="4" spans="2:180" ht="10.5" customHeight="1">
      <c r="H4" s="55"/>
      <c r="I4" s="55"/>
      <c r="J4" s="55"/>
      <c r="K4" s="55"/>
      <c r="L4" s="55"/>
    </row>
    <row r="5" spans="2:180" s="53" customFormat="1" ht="24" customHeight="1">
      <c r="B5" s="364"/>
      <c r="E5" s="508"/>
      <c r="F5" s="107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076"/>
      <c r="H5" s="1076"/>
      <c r="I5" s="1076"/>
      <c r="J5" s="1076"/>
      <c r="K5" s="1076"/>
      <c r="L5" s="1076"/>
      <c r="M5" s="1076"/>
      <c r="N5" s="1076"/>
      <c r="O5" s="1076"/>
      <c r="P5" s="1076"/>
      <c r="Q5" s="1076"/>
      <c r="R5" s="1076"/>
      <c r="S5" s="1076"/>
      <c r="T5" s="1076"/>
      <c r="U5" s="1076"/>
      <c r="V5" s="1076"/>
      <c r="W5" s="1076"/>
      <c r="X5" s="1076"/>
      <c r="Y5" s="1076"/>
      <c r="Z5" s="1076"/>
      <c r="AA5" s="1076"/>
      <c r="AB5" s="1076"/>
      <c r="AC5" s="1076"/>
      <c r="AD5" s="1076"/>
      <c r="AE5" s="1076"/>
      <c r="AF5" s="1076"/>
      <c r="AG5" s="1076"/>
      <c r="AH5" s="1076"/>
      <c r="AI5" s="1076"/>
      <c r="AJ5" s="1076"/>
      <c r="AK5" s="1076"/>
      <c r="AL5" s="1076"/>
      <c r="AM5" s="1076"/>
      <c r="AN5" s="1076"/>
      <c r="AO5" s="1076"/>
      <c r="AP5" s="1076"/>
      <c r="AQ5" s="1076"/>
      <c r="AR5" s="1076"/>
      <c r="AS5" s="1076"/>
      <c r="AT5" s="1076"/>
      <c r="AU5" s="1076"/>
      <c r="AV5" s="1076"/>
      <c r="AW5" s="1076"/>
      <c r="AX5" s="1076"/>
      <c r="AY5" s="1076"/>
      <c r="AZ5" s="1076"/>
      <c r="BA5" s="1076"/>
      <c r="BB5" s="1076"/>
      <c r="BC5" s="1076"/>
      <c r="BD5" s="1076"/>
      <c r="BE5" s="1076"/>
      <c r="BF5" s="1076"/>
      <c r="BG5" s="1076"/>
      <c r="BH5" s="1076"/>
      <c r="BI5" s="1076"/>
      <c r="BJ5" s="1076"/>
      <c r="BK5" s="1076"/>
      <c r="BL5" s="1076"/>
      <c r="BM5" s="1076"/>
      <c r="BN5" s="1076"/>
      <c r="BO5" s="1076"/>
      <c r="BP5" s="1076"/>
      <c r="BQ5" s="1076"/>
      <c r="BR5" s="1076"/>
      <c r="BS5" s="1076"/>
    </row>
    <row r="6" spans="2:180" s="53" customFormat="1" ht="18" customHeight="1">
      <c r="B6" s="364"/>
      <c r="E6" s="508"/>
      <c r="F6" s="1191" t="str">
        <f>IF(org=0,"Не определено",org)</f>
        <v>ООО "Концессионная Коммунальная Компания"</v>
      </c>
      <c r="G6" s="1192"/>
      <c r="H6" s="1192"/>
      <c r="I6" s="1192"/>
      <c r="J6" s="1192"/>
      <c r="K6" s="1192"/>
      <c r="L6" s="1192"/>
      <c r="M6" s="1192"/>
      <c r="N6" s="1192"/>
      <c r="O6" s="1192"/>
      <c r="P6" s="1192"/>
      <c r="Q6" s="1192"/>
      <c r="R6" s="1192"/>
      <c r="S6" s="1192"/>
      <c r="T6" s="1192"/>
      <c r="U6" s="1192"/>
      <c r="V6" s="1192"/>
      <c r="W6" s="1192"/>
      <c r="X6" s="1192"/>
      <c r="Y6" s="1192"/>
      <c r="Z6" s="1192"/>
      <c r="AA6" s="1192"/>
      <c r="AB6" s="1192"/>
      <c r="AC6" s="1192"/>
      <c r="AD6" s="1192"/>
      <c r="AE6" s="1192"/>
      <c r="AF6" s="1192"/>
      <c r="AG6" s="1192"/>
      <c r="AH6" s="1192"/>
      <c r="AI6" s="1192"/>
      <c r="AJ6" s="1192"/>
      <c r="AK6" s="1192"/>
      <c r="AL6" s="1192"/>
      <c r="AM6" s="1192"/>
      <c r="AN6" s="1192"/>
      <c r="AO6" s="1192"/>
      <c r="AP6" s="1192"/>
      <c r="AQ6" s="1192"/>
      <c r="AR6" s="1192"/>
      <c r="AS6" s="1192"/>
      <c r="AT6" s="1192"/>
      <c r="AU6" s="1192"/>
      <c r="AV6" s="1192"/>
      <c r="AW6" s="1192"/>
      <c r="AX6" s="1192"/>
      <c r="AY6" s="1192"/>
      <c r="AZ6" s="1192"/>
      <c r="BA6" s="1192"/>
      <c r="BB6" s="1192"/>
      <c r="BC6" s="1192"/>
      <c r="BD6" s="1192"/>
      <c r="BE6" s="1192"/>
      <c r="BF6" s="1192"/>
      <c r="BG6" s="1192"/>
      <c r="BH6" s="1192"/>
      <c r="BI6" s="1192"/>
      <c r="BJ6" s="1192"/>
      <c r="BK6" s="1192"/>
      <c r="BL6" s="1192"/>
      <c r="BM6" s="1192"/>
      <c r="BN6" s="1192"/>
      <c r="BO6" s="1192"/>
      <c r="BP6" s="1192"/>
      <c r="BQ6" s="1192"/>
      <c r="BR6" s="1192"/>
      <c r="BS6" s="1192"/>
    </row>
    <row r="7" spans="2:180" s="552" customFormat="1" ht="10.5" customHeight="1">
      <c r="B7" s="553"/>
      <c r="G7" s="554"/>
      <c r="H7" s="55"/>
      <c r="I7" s="55"/>
      <c r="J7" s="55"/>
      <c r="K7" s="55"/>
      <c r="L7" s="55"/>
    </row>
    <row r="8" spans="2:180" s="552" customFormat="1" ht="11.25" hidden="1" customHeight="1">
      <c r="B8" s="553"/>
      <c r="F8" s="53"/>
      <c r="G8" s="56"/>
      <c r="H8" s="2"/>
      <c r="I8" s="2"/>
      <c r="J8" s="2"/>
      <c r="K8" s="2"/>
      <c r="L8" s="2"/>
      <c r="M8" s="53"/>
      <c r="N8" s="53"/>
      <c r="O8" s="1439" t="s">
        <v>2022</v>
      </c>
      <c r="P8" s="1440"/>
      <c r="Q8" s="1440"/>
      <c r="R8" s="1440"/>
      <c r="S8" s="1440"/>
      <c r="T8" s="1440"/>
      <c r="U8" s="1440"/>
      <c r="V8" s="1440"/>
      <c r="W8" s="1440"/>
      <c r="X8" s="1440"/>
      <c r="Y8" s="1440"/>
      <c r="Z8" s="1440"/>
      <c r="AA8" s="1440"/>
      <c r="AB8" s="1440"/>
      <c r="AC8" s="1440"/>
      <c r="AD8" s="1440"/>
      <c r="AE8" s="1440"/>
      <c r="AF8" s="1440"/>
      <c r="AG8" s="1440"/>
      <c r="AH8" s="1440"/>
      <c r="AI8" s="1440"/>
      <c r="AJ8" s="1440"/>
      <c r="AK8" s="1440"/>
      <c r="AL8" s="1440"/>
      <c r="AM8" s="1440"/>
      <c r="AN8" s="1440"/>
      <c r="AO8" s="1440"/>
      <c r="AP8" s="1440"/>
      <c r="AQ8" s="1440"/>
      <c r="AR8" s="1440"/>
      <c r="AS8" s="1440"/>
      <c r="AT8" s="1440"/>
      <c r="AU8" s="1440"/>
      <c r="AV8" s="1440"/>
      <c r="AW8" s="1440"/>
      <c r="AX8" s="1440"/>
      <c r="AY8" s="1440"/>
      <c r="AZ8" s="1440"/>
      <c r="BA8" s="1440"/>
      <c r="BB8" s="1440"/>
      <c r="BC8" s="1440"/>
      <c r="BD8" s="1440"/>
      <c r="BE8" s="1440"/>
      <c r="BF8" s="1440"/>
      <c r="BG8" s="1440"/>
      <c r="BH8" s="1440"/>
      <c r="BI8" s="1440"/>
      <c r="BJ8" s="1440"/>
      <c r="BK8" s="1440"/>
      <c r="BL8" s="1440"/>
      <c r="BM8" s="1440"/>
      <c r="BN8" s="1440"/>
      <c r="BO8" s="1440"/>
      <c r="BP8" s="1440"/>
      <c r="BQ8" s="1440"/>
      <c r="BR8" s="1440"/>
      <c r="BS8" s="1441"/>
      <c r="BT8" s="1442"/>
      <c r="BU8" s="1443"/>
      <c r="BV8" s="1443"/>
      <c r="BW8" s="1443"/>
      <c r="BX8" s="1443"/>
      <c r="BY8" s="1443"/>
      <c r="BZ8" s="1443"/>
      <c r="CA8" s="1443"/>
      <c r="CB8" s="1443"/>
      <c r="CC8" s="1443"/>
      <c r="CD8" s="1443"/>
      <c r="CE8" s="1443"/>
      <c r="CF8" s="1443"/>
      <c r="CG8" s="1443"/>
      <c r="CH8" s="1443"/>
      <c r="CI8" s="1443"/>
      <c r="CJ8" s="1443"/>
      <c r="CK8" s="1443"/>
      <c r="CL8" s="1443"/>
      <c r="CM8" s="1443"/>
      <c r="CN8" s="1443"/>
      <c r="CO8" s="1443"/>
      <c r="CP8" s="1443"/>
      <c r="CQ8" s="1443"/>
      <c r="CR8" s="1443"/>
      <c r="CS8" s="1443"/>
      <c r="CT8" s="1443"/>
      <c r="CU8" s="1443"/>
      <c r="CV8" s="1443"/>
      <c r="CW8" s="1443"/>
      <c r="CX8" s="1444"/>
      <c r="CY8" s="1445"/>
      <c r="CZ8" s="1446"/>
      <c r="DA8" s="1446"/>
      <c r="DB8" s="1446"/>
      <c r="DC8" s="1446"/>
      <c r="DD8" s="1446"/>
      <c r="DE8" s="1446"/>
      <c r="DF8" s="1446"/>
      <c r="DG8" s="1446"/>
      <c r="DH8" s="1446"/>
      <c r="DI8" s="1446"/>
      <c r="DJ8" s="1446"/>
      <c r="DK8" s="1446"/>
      <c r="DL8" s="1446"/>
      <c r="DM8" s="1446"/>
      <c r="DN8" s="1446"/>
      <c r="DO8" s="1446"/>
      <c r="DP8" s="1446"/>
      <c r="DQ8" s="1446"/>
      <c r="DR8" s="1446"/>
      <c r="DS8" s="1446"/>
      <c r="DT8" s="1446"/>
      <c r="DU8" s="1446"/>
      <c r="DV8" s="1446"/>
      <c r="DW8" s="1446"/>
      <c r="DX8" s="1447"/>
      <c r="DY8" s="1433" t="s">
        <v>2023</v>
      </c>
      <c r="DZ8" s="1434"/>
      <c r="EA8" s="1434"/>
      <c r="EB8" s="1434"/>
      <c r="EC8" s="1434"/>
      <c r="ED8" s="1434"/>
      <c r="EE8" s="1434"/>
      <c r="EF8" s="1434"/>
      <c r="EG8" s="1434"/>
      <c r="EH8" s="1434"/>
      <c r="EI8" s="1434"/>
      <c r="EJ8" s="1434"/>
      <c r="EK8" s="1434"/>
      <c r="EL8" s="1434"/>
      <c r="EM8" s="1434"/>
      <c r="EN8" s="1434"/>
      <c r="EO8" s="1434"/>
      <c r="EP8" s="1434"/>
      <c r="EQ8" s="1434"/>
      <c r="ER8" s="1434"/>
      <c r="ES8" s="1434"/>
      <c r="ET8" s="1434"/>
      <c r="EU8" s="1434"/>
      <c r="EV8" s="1434"/>
      <c r="EW8" s="1434"/>
      <c r="EX8" s="1434"/>
      <c r="EY8" s="1434"/>
      <c r="EZ8" s="1434"/>
      <c r="FA8" s="1434"/>
      <c r="FB8" s="1434"/>
      <c r="FC8" s="1434"/>
      <c r="FD8" s="1434"/>
      <c r="FE8" s="1434"/>
      <c r="FF8" s="1434"/>
      <c r="FG8" s="1434"/>
      <c r="FH8" s="1434"/>
      <c r="FI8" s="1434"/>
      <c r="FJ8" s="1434"/>
      <c r="FK8" s="1434"/>
      <c r="FL8" s="1434"/>
      <c r="FM8" s="1434"/>
      <c r="FN8" s="1434"/>
      <c r="FO8" s="1434"/>
      <c r="FP8" s="1434"/>
      <c r="FQ8" s="1434"/>
      <c r="FR8" s="1434"/>
      <c r="FS8" s="1434"/>
      <c r="FT8" s="1434"/>
      <c r="FU8" s="1434"/>
      <c r="FV8" s="1434"/>
      <c r="FW8" s="1435"/>
      <c r="FX8" s="53"/>
    </row>
    <row r="9" spans="2:180" s="552" customFormat="1" ht="11.25" hidden="1" customHeight="1">
      <c r="B9" s="553"/>
      <c r="F9" s="53"/>
      <c r="G9" s="56"/>
      <c r="H9" s="2"/>
      <c r="I9" s="2"/>
      <c r="J9" s="2"/>
      <c r="K9" s="2"/>
      <c r="L9" s="2"/>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1436"/>
      <c r="FX9" s="53"/>
    </row>
    <row r="10" spans="2:180" s="552" customFormat="1" ht="11.25" customHeight="1">
      <c r="B10" s="553"/>
      <c r="F10" s="1415" t="s">
        <v>302</v>
      </c>
      <c r="G10" s="1449"/>
      <c r="H10" s="1449"/>
      <c r="I10" s="1449"/>
      <c r="J10" s="1449"/>
      <c r="K10" s="1449"/>
      <c r="L10" s="1449"/>
      <c r="M10" s="1449"/>
      <c r="N10" s="1449"/>
      <c r="O10" s="1449"/>
      <c r="P10" s="1449"/>
      <c r="Q10" s="1449"/>
      <c r="R10" s="1449"/>
      <c r="S10" s="1449"/>
      <c r="T10" s="1449"/>
      <c r="U10" s="1449"/>
      <c r="V10" s="1449"/>
      <c r="W10" s="1449"/>
      <c r="X10" s="1449"/>
      <c r="Y10" s="1449"/>
      <c r="Z10" s="1449"/>
      <c r="AA10" s="1449"/>
      <c r="AB10" s="1449"/>
      <c r="AC10" s="1449"/>
      <c r="AD10" s="1449"/>
      <c r="AE10" s="1449"/>
      <c r="AF10" s="1449"/>
      <c r="AG10" s="1449"/>
      <c r="AH10" s="1449"/>
      <c r="AI10" s="1449"/>
      <c r="AJ10" s="1449"/>
      <c r="AK10" s="1449"/>
      <c r="AL10" s="1449"/>
      <c r="AM10" s="1449"/>
      <c r="AN10" s="1449"/>
      <c r="AO10" s="1449"/>
      <c r="AP10" s="1449"/>
      <c r="AQ10" s="1449"/>
      <c r="AR10" s="1449"/>
      <c r="AS10" s="1449"/>
      <c r="AT10" s="1449"/>
      <c r="AU10" s="1449"/>
      <c r="AV10" s="1449"/>
      <c r="AW10" s="1449"/>
      <c r="AX10" s="1449"/>
      <c r="AY10" s="1449"/>
      <c r="AZ10" s="1449"/>
      <c r="BA10" s="1449"/>
      <c r="BB10" s="1449"/>
      <c r="BC10" s="1449"/>
      <c r="BD10" s="1449"/>
      <c r="BE10" s="1449"/>
      <c r="BF10" s="1449"/>
      <c r="BG10" s="1449"/>
      <c r="BH10" s="1449"/>
      <c r="BI10" s="1449"/>
      <c r="BJ10" s="1449"/>
      <c r="BK10" s="1449"/>
      <c r="BL10" s="1449"/>
      <c r="BM10" s="1449"/>
      <c r="BN10" s="1449"/>
      <c r="BO10" s="1449"/>
      <c r="BP10" s="1449"/>
      <c r="BQ10" s="1449"/>
      <c r="BR10" s="1449"/>
      <c r="BS10" s="1449"/>
      <c r="BT10" s="1449"/>
      <c r="BU10" s="1449"/>
      <c r="BV10" s="1449"/>
      <c r="BW10" s="1449"/>
      <c r="BX10" s="1449"/>
      <c r="BY10" s="1449"/>
      <c r="BZ10" s="1449"/>
      <c r="CA10" s="1449"/>
      <c r="CB10" s="1449"/>
      <c r="CC10" s="1449"/>
      <c r="CD10" s="1449"/>
      <c r="CE10" s="1449"/>
      <c r="CF10" s="1449"/>
      <c r="CG10" s="1449"/>
      <c r="CH10" s="1449"/>
      <c r="CI10" s="1449"/>
      <c r="CJ10" s="1449"/>
      <c r="CK10" s="1449"/>
      <c r="CL10" s="1449"/>
      <c r="CM10" s="1449"/>
      <c r="CN10" s="1449"/>
      <c r="CO10" s="1449"/>
      <c r="CP10" s="1449"/>
      <c r="CQ10" s="1449"/>
      <c r="CR10" s="1449"/>
      <c r="CS10" s="1449"/>
      <c r="CT10" s="1449"/>
      <c r="CU10" s="1449"/>
      <c r="CV10" s="1449"/>
      <c r="CW10" s="1449"/>
      <c r="CX10" s="1449"/>
      <c r="CY10" s="1449"/>
      <c r="CZ10" s="1449"/>
      <c r="DA10" s="1449"/>
      <c r="DB10" s="1449"/>
      <c r="DC10" s="1449"/>
      <c r="DD10" s="1449"/>
      <c r="DE10" s="1449"/>
      <c r="DF10" s="1449"/>
      <c r="DG10" s="1449"/>
      <c r="DH10" s="1449"/>
      <c r="DI10" s="1449"/>
      <c r="DJ10" s="1449"/>
      <c r="DK10" s="1449"/>
      <c r="DL10" s="1449"/>
      <c r="DM10" s="1449"/>
      <c r="DN10" s="1449"/>
      <c r="DO10" s="1449"/>
      <c r="DP10" s="1449"/>
      <c r="DQ10" s="1449"/>
      <c r="DR10" s="1449"/>
      <c r="DS10" s="1449"/>
      <c r="DT10" s="1449"/>
      <c r="DU10" s="1449"/>
      <c r="DV10" s="1449"/>
      <c r="DW10" s="1449"/>
      <c r="DX10" s="1449"/>
      <c r="DY10" s="1449"/>
      <c r="DZ10" s="1449"/>
      <c r="EA10" s="1449"/>
      <c r="EB10" s="1449"/>
      <c r="EC10" s="1449"/>
      <c r="ED10" s="1449"/>
      <c r="EE10" s="1449"/>
      <c r="EF10" s="1449"/>
      <c r="EG10" s="1449"/>
      <c r="EH10" s="1449"/>
      <c r="EI10" s="1449"/>
      <c r="EJ10" s="1449"/>
      <c r="EK10" s="1449"/>
      <c r="EL10" s="1449"/>
      <c r="EM10" s="1449"/>
      <c r="EN10" s="1449"/>
      <c r="EO10" s="1449"/>
      <c r="EP10" s="1449"/>
      <c r="EQ10" s="1449"/>
      <c r="ER10" s="1449"/>
      <c r="ES10" s="1449"/>
      <c r="ET10" s="1449"/>
      <c r="EU10" s="1449"/>
      <c r="EV10" s="1449"/>
      <c r="EW10" s="1449"/>
      <c r="EX10" s="1449"/>
      <c r="EY10" s="1449"/>
      <c r="EZ10" s="1449"/>
      <c r="FA10" s="1449"/>
      <c r="FB10" s="1449"/>
      <c r="FC10" s="1449"/>
      <c r="FD10" s="1449"/>
      <c r="FE10" s="1449"/>
      <c r="FF10" s="1449"/>
      <c r="FG10" s="1449"/>
      <c r="FH10" s="1449"/>
      <c r="FI10" s="1449"/>
      <c r="FJ10" s="1449"/>
      <c r="FK10" s="1449"/>
      <c r="FL10" s="1449"/>
      <c r="FM10" s="1449"/>
      <c r="FN10" s="1449"/>
      <c r="FO10" s="1449"/>
      <c r="FP10" s="1449"/>
      <c r="FQ10" s="1449"/>
      <c r="FR10" s="1449"/>
      <c r="FS10" s="1449"/>
      <c r="FT10" s="1449"/>
      <c r="FU10" s="1449"/>
      <c r="FV10" s="1214"/>
      <c r="FW10" s="1436"/>
      <c r="FX10" s="53"/>
    </row>
    <row r="11" spans="2:180" ht="12" customHeight="1">
      <c r="E11" s="555"/>
      <c r="F11" s="1171" t="s">
        <v>88</v>
      </c>
      <c r="G11" s="1171" t="s">
        <v>2024</v>
      </c>
      <c r="H11" s="1171" t="s">
        <v>2025</v>
      </c>
      <c r="I11" s="1171" t="s">
        <v>2026</v>
      </c>
      <c r="J11" s="1448"/>
      <c r="K11" s="1448"/>
      <c r="L11" s="1448"/>
      <c r="M11" s="1448"/>
      <c r="N11" s="1448"/>
      <c r="O11" s="1176" t="s">
        <v>2027</v>
      </c>
      <c r="P11" s="1176"/>
      <c r="Q11" s="1176"/>
      <c r="R11" s="1176"/>
      <c r="S11" s="1176"/>
      <c r="T11" s="1176"/>
      <c r="U11" s="1176"/>
      <c r="V11" s="1176"/>
      <c r="W11" s="1176"/>
      <c r="X11" s="1176"/>
      <c r="Y11" s="1176"/>
      <c r="Z11" s="1176"/>
      <c r="AA11" s="1176"/>
      <c r="AB11" s="1176"/>
      <c r="AC11" s="1431"/>
      <c r="AD11" s="1431"/>
      <c r="AE11" s="1431"/>
      <c r="AF11" s="1431"/>
      <c r="AG11" s="1431"/>
      <c r="AH11" s="1431"/>
      <c r="AI11" s="1431"/>
      <c r="AJ11" s="1431"/>
      <c r="AK11" s="1431"/>
      <c r="AL11" s="1431"/>
      <c r="AM11" s="1431"/>
      <c r="AN11" s="1431"/>
      <c r="AO11" s="1431"/>
      <c r="AP11" s="1431"/>
      <c r="AQ11" s="1431"/>
      <c r="AR11" s="1431"/>
      <c r="AS11" s="1431"/>
      <c r="AT11" s="1431"/>
      <c r="AU11" s="1431"/>
      <c r="AV11" s="1431"/>
      <c r="AW11" s="1431"/>
      <c r="AX11" s="1431"/>
      <c r="AY11" s="1431"/>
      <c r="AZ11" s="1431"/>
      <c r="BA11" s="1431"/>
      <c r="BB11" s="1431"/>
      <c r="BC11" s="1431"/>
      <c r="BD11" s="1431"/>
      <c r="BE11" s="1431"/>
      <c r="BF11" s="1431"/>
      <c r="BG11" s="1431"/>
      <c r="BH11" s="1431"/>
      <c r="BI11" s="1431"/>
      <c r="BJ11" s="1431"/>
      <c r="BK11" s="1431"/>
      <c r="BL11" s="1431"/>
      <c r="BM11" s="1431"/>
      <c r="BN11" s="1431"/>
      <c r="BO11" s="1431"/>
      <c r="BP11" s="1431"/>
      <c r="BQ11" s="1431"/>
      <c r="BR11" s="1431"/>
      <c r="BS11" s="1432"/>
      <c r="BT11" s="1382" t="s">
        <v>2027</v>
      </c>
      <c r="BU11" s="1383"/>
      <c r="BV11" s="1383"/>
      <c r="BW11" s="1383"/>
      <c r="BX11" s="1383"/>
      <c r="BY11" s="1383"/>
      <c r="BZ11" s="1383"/>
      <c r="CA11" s="1383"/>
      <c r="CB11" s="1383"/>
      <c r="CC11" s="1383"/>
      <c r="CD11" s="1383"/>
      <c r="CE11" s="1383"/>
      <c r="CF11" s="1383"/>
      <c r="CG11" s="1383"/>
      <c r="CH11" s="1383"/>
      <c r="CI11" s="1383"/>
      <c r="CJ11" s="1383"/>
      <c r="CK11" s="1384"/>
      <c r="CL11" s="1438"/>
      <c r="CM11" s="1431"/>
      <c r="CN11" s="1431"/>
      <c r="CO11" s="1431"/>
      <c r="CP11" s="1431"/>
      <c r="CQ11" s="1431"/>
      <c r="CR11" s="1431"/>
      <c r="CS11" s="1431"/>
      <c r="CT11" s="1431"/>
      <c r="CU11" s="1431"/>
      <c r="CV11" s="1431"/>
      <c r="CW11" s="1431"/>
      <c r="CX11" s="1432"/>
      <c r="CY11" s="1382" t="s">
        <v>2027</v>
      </c>
      <c r="CZ11" s="1383"/>
      <c r="DA11" s="1383"/>
      <c r="DB11" s="1383"/>
      <c r="DC11" s="1383"/>
      <c r="DD11" s="1383"/>
      <c r="DE11" s="1383"/>
      <c r="DF11" s="1383"/>
      <c r="DG11" s="1383"/>
      <c r="DH11" s="1383"/>
      <c r="DI11" s="1383"/>
      <c r="DJ11" s="1384"/>
      <c r="DK11" s="1438"/>
      <c r="DL11" s="1431"/>
      <c r="DM11" s="1431"/>
      <c r="DN11" s="1431"/>
      <c r="DO11" s="1431"/>
      <c r="DP11" s="1431"/>
      <c r="DQ11" s="1431"/>
      <c r="DR11" s="1431"/>
      <c r="DS11" s="1431"/>
      <c r="DT11" s="1431"/>
      <c r="DU11" s="1431"/>
      <c r="DV11" s="1431"/>
      <c r="DW11" s="1431"/>
      <c r="DX11" s="1431"/>
      <c r="DY11" s="1431"/>
      <c r="DZ11" s="1431"/>
      <c r="EA11" s="1431"/>
      <c r="EB11" s="1431"/>
      <c r="EC11" s="1431"/>
      <c r="ED11" s="1431"/>
      <c r="EE11" s="1431"/>
      <c r="EF11" s="1431"/>
      <c r="EG11" s="1431"/>
      <c r="EH11" s="1431"/>
      <c r="EI11" s="1431"/>
      <c r="EJ11" s="1431"/>
      <c r="EK11" s="1431"/>
      <c r="EL11" s="1431"/>
      <c r="EM11" s="1431"/>
      <c r="EN11" s="1431"/>
      <c r="EO11" s="1431"/>
      <c r="EP11" s="1431"/>
      <c r="EQ11" s="1431"/>
      <c r="ER11" s="1431"/>
      <c r="ES11" s="1431"/>
      <c r="ET11" s="1431"/>
      <c r="EU11" s="1431"/>
      <c r="EV11" s="1431"/>
      <c r="EW11" s="1431"/>
      <c r="EX11" s="1431"/>
      <c r="EY11" s="1431"/>
      <c r="EZ11" s="1431"/>
      <c r="FA11" s="1431"/>
      <c r="FB11" s="1431"/>
      <c r="FC11" s="1431"/>
      <c r="FD11" s="1431"/>
      <c r="FE11" s="1431"/>
      <c r="FF11" s="1431"/>
      <c r="FG11" s="1431"/>
      <c r="FH11" s="1431"/>
      <c r="FI11" s="1431"/>
      <c r="FJ11" s="1431"/>
      <c r="FK11" s="1431"/>
      <c r="FL11" s="1431"/>
      <c r="FM11" s="1431"/>
      <c r="FN11" s="1431"/>
      <c r="FO11" s="1431"/>
      <c r="FP11" s="1431"/>
      <c r="FQ11" s="1431"/>
      <c r="FR11" s="1431"/>
      <c r="FS11" s="1431"/>
      <c r="FT11" s="1431"/>
      <c r="FU11" s="1431"/>
      <c r="FV11" s="1431"/>
      <c r="FW11" s="1436"/>
      <c r="FX11" s="32"/>
    </row>
    <row r="12" spans="2:180" ht="12" customHeight="1">
      <c r="D12" s="55"/>
      <c r="E12" s="555"/>
      <c r="F12" s="1171"/>
      <c r="G12" s="1171"/>
      <c r="H12" s="1171"/>
      <c r="I12" s="1171"/>
      <c r="J12" s="1448"/>
      <c r="K12" s="1448"/>
      <c r="L12" s="1448"/>
      <c r="M12" s="1448"/>
      <c r="N12" s="1448"/>
      <c r="O12" s="1176" t="s">
        <v>2028</v>
      </c>
      <c r="P12" s="1176"/>
      <c r="Q12" s="1176"/>
      <c r="R12" s="1176"/>
      <c r="S12" s="1176" t="s">
        <v>2029</v>
      </c>
      <c r="T12" s="1176"/>
      <c r="U12" s="1176"/>
      <c r="V12" s="1176"/>
      <c r="W12" s="1176"/>
      <c r="X12" s="1176"/>
      <c r="Y12" s="1176"/>
      <c r="Z12" s="1176"/>
      <c r="AA12" s="1176"/>
      <c r="AB12" s="1176"/>
      <c r="AC12" s="1431"/>
      <c r="AD12" s="1431"/>
      <c r="AE12" s="1431"/>
      <c r="AF12" s="1431"/>
      <c r="AG12" s="1431"/>
      <c r="AH12" s="1431"/>
      <c r="AI12" s="1431"/>
      <c r="AJ12" s="1431"/>
      <c r="AK12" s="1431"/>
      <c r="AL12" s="1431"/>
      <c r="AM12" s="1431"/>
      <c r="AN12" s="1431"/>
      <c r="AO12" s="1431"/>
      <c r="AP12" s="1431"/>
      <c r="AQ12" s="1431"/>
      <c r="AR12" s="1431"/>
      <c r="AS12" s="1431"/>
      <c r="AT12" s="1431"/>
      <c r="AU12" s="1431"/>
      <c r="AV12" s="1431"/>
      <c r="AW12" s="1431"/>
      <c r="AX12" s="1431"/>
      <c r="AY12" s="1431"/>
      <c r="AZ12" s="1431"/>
      <c r="BA12" s="1431"/>
      <c r="BB12" s="1431"/>
      <c r="BC12" s="1431"/>
      <c r="BD12" s="1431"/>
      <c r="BE12" s="1431"/>
      <c r="BF12" s="1431"/>
      <c r="BG12" s="1431"/>
      <c r="BH12" s="1431"/>
      <c r="BI12" s="1431"/>
      <c r="BJ12" s="1431"/>
      <c r="BK12" s="1431"/>
      <c r="BL12" s="1431"/>
      <c r="BM12" s="1431"/>
      <c r="BN12" s="1431"/>
      <c r="BO12" s="1431"/>
      <c r="BP12" s="1431"/>
      <c r="BQ12" s="1431"/>
      <c r="BR12" s="1431"/>
      <c r="BS12" s="1432"/>
      <c r="BT12" s="1382" t="s">
        <v>2030</v>
      </c>
      <c r="BU12" s="1383"/>
      <c r="BV12" s="1383"/>
      <c r="BW12" s="1384"/>
      <c r="BX12" s="1382" t="s">
        <v>2031</v>
      </c>
      <c r="BY12" s="1383"/>
      <c r="BZ12" s="1383"/>
      <c r="CA12" s="1384"/>
      <c r="CB12" s="1382" t="s">
        <v>2032</v>
      </c>
      <c r="CC12" s="1384"/>
      <c r="CD12" s="1382" t="s">
        <v>2033</v>
      </c>
      <c r="CE12" s="1383"/>
      <c r="CF12" s="1383"/>
      <c r="CG12" s="1383"/>
      <c r="CH12" s="1383"/>
      <c r="CI12" s="1383"/>
      <c r="CJ12" s="1383"/>
      <c r="CK12" s="1384"/>
      <c r="CL12" s="1438"/>
      <c r="CM12" s="1431"/>
      <c r="CN12" s="1431"/>
      <c r="CO12" s="1431"/>
      <c r="CP12" s="1431"/>
      <c r="CQ12" s="1431"/>
      <c r="CR12" s="1431"/>
      <c r="CS12" s="1431"/>
      <c r="CT12" s="1431"/>
      <c r="CU12" s="1431"/>
      <c r="CV12" s="1431"/>
      <c r="CW12" s="1431"/>
      <c r="CX12" s="1432"/>
      <c r="CY12" s="1382" t="s">
        <v>2034</v>
      </c>
      <c r="CZ12" s="1383"/>
      <c r="DA12" s="1383"/>
      <c r="DB12" s="1383"/>
      <c r="DC12" s="1383"/>
      <c r="DD12" s="1384"/>
      <c r="DE12" s="1382" t="s">
        <v>2035</v>
      </c>
      <c r="DF12" s="1384"/>
      <c r="DG12" s="1382" t="s">
        <v>2033</v>
      </c>
      <c r="DH12" s="1383"/>
      <c r="DI12" s="1383"/>
      <c r="DJ12" s="1384"/>
      <c r="DK12" s="1438"/>
      <c r="DL12" s="1431"/>
      <c r="DM12" s="1431"/>
      <c r="DN12" s="1431"/>
      <c r="DO12" s="1431"/>
      <c r="DP12" s="1431"/>
      <c r="DQ12" s="1431"/>
      <c r="DR12" s="1431"/>
      <c r="DS12" s="1431"/>
      <c r="DT12" s="1431"/>
      <c r="DU12" s="1431"/>
      <c r="DV12" s="1431"/>
      <c r="DW12" s="1431"/>
      <c r="DX12" s="1431"/>
      <c r="DY12" s="1431"/>
      <c r="DZ12" s="1431"/>
      <c r="EA12" s="1431"/>
      <c r="EB12" s="1431"/>
      <c r="EC12" s="1431"/>
      <c r="ED12" s="1431"/>
      <c r="EE12" s="1431"/>
      <c r="EF12" s="1431"/>
      <c r="EG12" s="1431"/>
      <c r="EH12" s="1431"/>
      <c r="EI12" s="1431"/>
      <c r="EJ12" s="1431"/>
      <c r="EK12" s="1431"/>
      <c r="EL12" s="1431"/>
      <c r="EM12" s="1431"/>
      <c r="EN12" s="1431"/>
      <c r="EO12" s="1431"/>
      <c r="EP12" s="1431"/>
      <c r="EQ12" s="1431"/>
      <c r="ER12" s="1431"/>
      <c r="ES12" s="1431"/>
      <c r="ET12" s="1431"/>
      <c r="EU12" s="1431"/>
      <c r="EV12" s="1431"/>
      <c r="EW12" s="1431"/>
      <c r="EX12" s="1431"/>
      <c r="EY12" s="1431"/>
      <c r="EZ12" s="1431"/>
      <c r="FA12" s="1431"/>
      <c r="FB12" s="1431"/>
      <c r="FC12" s="1431"/>
      <c r="FD12" s="1431"/>
      <c r="FE12" s="1431"/>
      <c r="FF12" s="1431"/>
      <c r="FG12" s="1431"/>
      <c r="FH12" s="1431"/>
      <c r="FI12" s="1431"/>
      <c r="FJ12" s="1431"/>
      <c r="FK12" s="1431"/>
      <c r="FL12" s="1431"/>
      <c r="FM12" s="1431"/>
      <c r="FN12" s="1431"/>
      <c r="FO12" s="1431"/>
      <c r="FP12" s="1431"/>
      <c r="FQ12" s="1431"/>
      <c r="FR12" s="1431"/>
      <c r="FS12" s="1431"/>
      <c r="FT12" s="1431"/>
      <c r="FU12" s="1431"/>
      <c r="FV12" s="1431"/>
      <c r="FW12" s="1436"/>
      <c r="FX12" s="32"/>
    </row>
    <row r="13" spans="2:180" ht="36" customHeight="1">
      <c r="D13" s="55"/>
      <c r="E13" s="555"/>
      <c r="F13" s="1171"/>
      <c r="G13" s="1171"/>
      <c r="H13" s="1171"/>
      <c r="I13" s="1171"/>
      <c r="J13" s="1448"/>
      <c r="K13" s="1448"/>
      <c r="L13" s="1448"/>
      <c r="M13" s="1448"/>
      <c r="N13" s="1448"/>
      <c r="O13" s="1176" t="s">
        <v>2036</v>
      </c>
      <c r="P13" s="1176"/>
      <c r="Q13" s="1176"/>
      <c r="R13" s="1176"/>
      <c r="S13" s="1342" t="s">
        <v>2037</v>
      </c>
      <c r="T13" s="1417"/>
      <c r="U13" s="1082" t="s">
        <v>2038</v>
      </c>
      <c r="V13" s="1082"/>
      <c r="W13" s="1082"/>
      <c r="X13" s="1082"/>
      <c r="Y13" s="1082" t="s">
        <v>2039</v>
      </c>
      <c r="Z13" s="1082"/>
      <c r="AA13" s="1082"/>
      <c r="AB13" s="1082"/>
      <c r="AC13" s="1431"/>
      <c r="AD13" s="1431"/>
      <c r="AE13" s="1431"/>
      <c r="AF13" s="1431"/>
      <c r="AG13" s="1431"/>
      <c r="AH13" s="1431"/>
      <c r="AI13" s="1431"/>
      <c r="AJ13" s="1431"/>
      <c r="AK13" s="1431"/>
      <c r="AL13" s="1431"/>
      <c r="AM13" s="1431"/>
      <c r="AN13" s="1431"/>
      <c r="AO13" s="1431"/>
      <c r="AP13" s="1431"/>
      <c r="AQ13" s="1431"/>
      <c r="AR13" s="1431"/>
      <c r="AS13" s="1431"/>
      <c r="AT13" s="1431"/>
      <c r="AU13" s="1431"/>
      <c r="AV13" s="1431"/>
      <c r="AW13" s="1431"/>
      <c r="AX13" s="1431"/>
      <c r="AY13" s="1431"/>
      <c r="AZ13" s="1431"/>
      <c r="BA13" s="1431"/>
      <c r="BB13" s="1431"/>
      <c r="BC13" s="1431"/>
      <c r="BD13" s="1431"/>
      <c r="BE13" s="1431"/>
      <c r="BF13" s="1431"/>
      <c r="BG13" s="1431"/>
      <c r="BH13" s="1431"/>
      <c r="BI13" s="1431"/>
      <c r="BJ13" s="1431"/>
      <c r="BK13" s="1431"/>
      <c r="BL13" s="1431"/>
      <c r="BM13" s="1431"/>
      <c r="BN13" s="1431"/>
      <c r="BO13" s="1431"/>
      <c r="BP13" s="1431"/>
      <c r="BQ13" s="1431"/>
      <c r="BR13" s="1431"/>
      <c r="BS13" s="1432"/>
      <c r="BT13" s="1342" t="s">
        <v>2040</v>
      </c>
      <c r="BU13" s="1417"/>
      <c r="BV13" s="1342" t="s">
        <v>2041</v>
      </c>
      <c r="BW13" s="1417"/>
      <c r="BX13" s="1342" t="s">
        <v>2042</v>
      </c>
      <c r="BY13" s="1417"/>
      <c r="BZ13" s="1342" t="s">
        <v>2043</v>
      </c>
      <c r="CA13" s="1417"/>
      <c r="CB13" s="1342" t="s">
        <v>2044</v>
      </c>
      <c r="CC13" s="1417"/>
      <c r="CD13" s="1342" t="s">
        <v>2045</v>
      </c>
      <c r="CE13" s="1417"/>
      <c r="CF13" s="1342" t="s">
        <v>2046</v>
      </c>
      <c r="CG13" s="1417"/>
      <c r="CH13" s="1382" t="s">
        <v>2047</v>
      </c>
      <c r="CI13" s="1383"/>
      <c r="CJ13" s="1383"/>
      <c r="CK13" s="1384"/>
      <c r="CL13" s="1438"/>
      <c r="CM13" s="1431"/>
      <c r="CN13" s="1431"/>
      <c r="CO13" s="1431"/>
      <c r="CP13" s="1431"/>
      <c r="CQ13" s="1431"/>
      <c r="CR13" s="1431"/>
      <c r="CS13" s="1431"/>
      <c r="CT13" s="1431"/>
      <c r="CU13" s="1431"/>
      <c r="CV13" s="1431"/>
      <c r="CW13" s="1431"/>
      <c r="CX13" s="1432"/>
      <c r="CY13" s="1342" t="s">
        <v>2048</v>
      </c>
      <c r="CZ13" s="1417"/>
      <c r="DA13" s="1342" t="s">
        <v>2049</v>
      </c>
      <c r="DB13" s="1417"/>
      <c r="DC13" s="1342" t="s">
        <v>2050</v>
      </c>
      <c r="DD13" s="1417"/>
      <c r="DE13" s="1342" t="s">
        <v>2051</v>
      </c>
      <c r="DF13" s="1417"/>
      <c r="DG13" s="1382" t="s">
        <v>2052</v>
      </c>
      <c r="DH13" s="1383"/>
      <c r="DI13" s="1383"/>
      <c r="DJ13" s="1384"/>
      <c r="DK13" s="1438"/>
      <c r="DL13" s="1431"/>
      <c r="DM13" s="1431"/>
      <c r="DN13" s="1431"/>
      <c r="DO13" s="1431"/>
      <c r="DP13" s="1431"/>
      <c r="DQ13" s="1431"/>
      <c r="DR13" s="1431"/>
      <c r="DS13" s="1431"/>
      <c r="DT13" s="1431"/>
      <c r="DU13" s="1431"/>
      <c r="DV13" s="1431"/>
      <c r="DW13" s="1431"/>
      <c r="DX13" s="1431"/>
      <c r="DY13" s="1431"/>
      <c r="DZ13" s="1431"/>
      <c r="EA13" s="1431"/>
      <c r="EB13" s="1431"/>
      <c r="EC13" s="1431"/>
      <c r="ED13" s="1431"/>
      <c r="EE13" s="1431"/>
      <c r="EF13" s="1431"/>
      <c r="EG13" s="1431"/>
      <c r="EH13" s="1431"/>
      <c r="EI13" s="1431"/>
      <c r="EJ13" s="1431"/>
      <c r="EK13" s="1431"/>
      <c r="EL13" s="1431"/>
      <c r="EM13" s="1431"/>
      <c r="EN13" s="1431"/>
      <c r="EO13" s="1431"/>
      <c r="EP13" s="1431"/>
      <c r="EQ13" s="1431"/>
      <c r="ER13" s="1431"/>
      <c r="ES13" s="1431"/>
      <c r="ET13" s="1431"/>
      <c r="EU13" s="1431"/>
      <c r="EV13" s="1431"/>
      <c r="EW13" s="1431"/>
      <c r="EX13" s="1431"/>
      <c r="EY13" s="1431"/>
      <c r="EZ13" s="1431"/>
      <c r="FA13" s="1431"/>
      <c r="FB13" s="1431"/>
      <c r="FC13" s="1431"/>
      <c r="FD13" s="1431"/>
      <c r="FE13" s="1431"/>
      <c r="FF13" s="1431"/>
      <c r="FG13" s="1431"/>
      <c r="FH13" s="1431"/>
      <c r="FI13" s="1431"/>
      <c r="FJ13" s="1431"/>
      <c r="FK13" s="1431"/>
      <c r="FL13" s="1431"/>
      <c r="FM13" s="1431"/>
      <c r="FN13" s="1431"/>
      <c r="FO13" s="1431"/>
      <c r="FP13" s="1431"/>
      <c r="FQ13" s="1431"/>
      <c r="FR13" s="1431"/>
      <c r="FS13" s="1431"/>
      <c r="FT13" s="1431"/>
      <c r="FU13" s="1431"/>
      <c r="FV13" s="1431"/>
      <c r="FW13" s="1436"/>
      <c r="FX13" s="32"/>
    </row>
    <row r="14" spans="2:180" ht="36" customHeight="1">
      <c r="D14" s="55"/>
      <c r="E14" s="555"/>
      <c r="F14" s="1171"/>
      <c r="G14" s="1171"/>
      <c r="H14" s="1171"/>
      <c r="I14" s="1171"/>
      <c r="J14" s="1448"/>
      <c r="K14" s="1448"/>
      <c r="L14" s="1448"/>
      <c r="M14" s="1448"/>
      <c r="N14" s="1448"/>
      <c r="O14" s="1342" t="s">
        <v>2053</v>
      </c>
      <c r="P14" s="1417"/>
      <c r="Q14" s="1342" t="s">
        <v>2054</v>
      </c>
      <c r="R14" s="1417"/>
      <c r="S14" s="1343"/>
      <c r="T14" s="1177"/>
      <c r="U14" s="1342" t="s">
        <v>1841</v>
      </c>
      <c r="V14" s="1417"/>
      <c r="W14" s="1342" t="s">
        <v>1844</v>
      </c>
      <c r="X14" s="1417"/>
      <c r="Y14" s="1342" t="s">
        <v>1841</v>
      </c>
      <c r="Z14" s="1417"/>
      <c r="AA14" s="1342" t="s">
        <v>1851</v>
      </c>
      <c r="AB14" s="1417"/>
      <c r="AC14" s="1431"/>
      <c r="AD14" s="1431"/>
      <c r="AE14" s="1431"/>
      <c r="AF14" s="1431"/>
      <c r="AG14" s="1431"/>
      <c r="AH14" s="1431"/>
      <c r="AI14" s="1431"/>
      <c r="AJ14" s="1431"/>
      <c r="AK14" s="1431"/>
      <c r="AL14" s="1431"/>
      <c r="AM14" s="1431"/>
      <c r="AN14" s="1431"/>
      <c r="AO14" s="1431"/>
      <c r="AP14" s="1431"/>
      <c r="AQ14" s="1431"/>
      <c r="AR14" s="1431"/>
      <c r="AS14" s="1431"/>
      <c r="AT14" s="1431"/>
      <c r="AU14" s="1431"/>
      <c r="AV14" s="1431"/>
      <c r="AW14" s="1431"/>
      <c r="AX14" s="1431"/>
      <c r="AY14" s="1431"/>
      <c r="AZ14" s="1431"/>
      <c r="BA14" s="1431"/>
      <c r="BB14" s="1431"/>
      <c r="BC14" s="1431"/>
      <c r="BD14" s="1431"/>
      <c r="BE14" s="1431"/>
      <c r="BF14" s="1431"/>
      <c r="BG14" s="1431"/>
      <c r="BH14" s="1431"/>
      <c r="BI14" s="1431"/>
      <c r="BJ14" s="1431"/>
      <c r="BK14" s="1431"/>
      <c r="BL14" s="1431"/>
      <c r="BM14" s="1431"/>
      <c r="BN14" s="1431"/>
      <c r="BO14" s="1431"/>
      <c r="BP14" s="1431"/>
      <c r="BQ14" s="1431"/>
      <c r="BR14" s="1431"/>
      <c r="BS14" s="1432"/>
      <c r="BT14" s="1343"/>
      <c r="BU14" s="1177"/>
      <c r="BV14" s="1343"/>
      <c r="BW14" s="1177"/>
      <c r="BX14" s="1343"/>
      <c r="BY14" s="1177"/>
      <c r="BZ14" s="1343"/>
      <c r="CA14" s="1177"/>
      <c r="CB14" s="1343"/>
      <c r="CC14" s="1177"/>
      <c r="CD14" s="1343"/>
      <c r="CE14" s="1177"/>
      <c r="CF14" s="1343"/>
      <c r="CG14" s="1177"/>
      <c r="CH14" s="1342" t="s">
        <v>2055</v>
      </c>
      <c r="CI14" s="1417"/>
      <c r="CJ14" s="1342" t="s">
        <v>2056</v>
      </c>
      <c r="CK14" s="1417"/>
      <c r="CL14" s="1438"/>
      <c r="CM14" s="1431"/>
      <c r="CN14" s="1431"/>
      <c r="CO14" s="1431"/>
      <c r="CP14" s="1431"/>
      <c r="CQ14" s="1431"/>
      <c r="CR14" s="1431"/>
      <c r="CS14" s="1431"/>
      <c r="CT14" s="1431"/>
      <c r="CU14" s="1431"/>
      <c r="CV14" s="1431"/>
      <c r="CW14" s="1431"/>
      <c r="CX14" s="1432"/>
      <c r="CY14" s="1343"/>
      <c r="CZ14" s="1177"/>
      <c r="DA14" s="1343"/>
      <c r="DB14" s="1177"/>
      <c r="DC14" s="1343"/>
      <c r="DD14" s="1177"/>
      <c r="DE14" s="1343"/>
      <c r="DF14" s="1177"/>
      <c r="DG14" s="1342" t="s">
        <v>2057</v>
      </c>
      <c r="DH14" s="1417"/>
      <c r="DI14" s="1342" t="s">
        <v>2058</v>
      </c>
      <c r="DJ14" s="1417"/>
      <c r="DK14" s="1438"/>
      <c r="DL14" s="1431"/>
      <c r="DM14" s="1431"/>
      <c r="DN14" s="1431"/>
      <c r="DO14" s="1431"/>
      <c r="DP14" s="1431"/>
      <c r="DQ14" s="1431"/>
      <c r="DR14" s="1431"/>
      <c r="DS14" s="1431"/>
      <c r="DT14" s="1431"/>
      <c r="DU14" s="1431"/>
      <c r="DV14" s="1431"/>
      <c r="DW14" s="1431"/>
      <c r="DX14" s="1431"/>
      <c r="DY14" s="1431"/>
      <c r="DZ14" s="1431"/>
      <c r="EA14" s="1431"/>
      <c r="EB14" s="1431"/>
      <c r="EC14" s="1431"/>
      <c r="ED14" s="1431"/>
      <c r="EE14" s="1431"/>
      <c r="EF14" s="1431"/>
      <c r="EG14" s="1431"/>
      <c r="EH14" s="1431"/>
      <c r="EI14" s="1431"/>
      <c r="EJ14" s="1431"/>
      <c r="EK14" s="1431"/>
      <c r="EL14" s="1431"/>
      <c r="EM14" s="1431"/>
      <c r="EN14" s="1431"/>
      <c r="EO14" s="1431"/>
      <c r="EP14" s="1431"/>
      <c r="EQ14" s="1431"/>
      <c r="ER14" s="1431"/>
      <c r="ES14" s="1431"/>
      <c r="ET14" s="1431"/>
      <c r="EU14" s="1431"/>
      <c r="EV14" s="1431"/>
      <c r="EW14" s="1431"/>
      <c r="EX14" s="1431"/>
      <c r="EY14" s="1431"/>
      <c r="EZ14" s="1431"/>
      <c r="FA14" s="1431"/>
      <c r="FB14" s="1431"/>
      <c r="FC14" s="1431"/>
      <c r="FD14" s="1431"/>
      <c r="FE14" s="1431"/>
      <c r="FF14" s="1431"/>
      <c r="FG14" s="1431"/>
      <c r="FH14" s="1431"/>
      <c r="FI14" s="1431"/>
      <c r="FJ14" s="1431"/>
      <c r="FK14" s="1431"/>
      <c r="FL14" s="1431"/>
      <c r="FM14" s="1431"/>
      <c r="FN14" s="1431"/>
      <c r="FO14" s="1431"/>
      <c r="FP14" s="1431"/>
      <c r="FQ14" s="1431"/>
      <c r="FR14" s="1431"/>
      <c r="FS14" s="1431"/>
      <c r="FT14" s="1431"/>
      <c r="FU14" s="1431"/>
      <c r="FV14" s="1431"/>
      <c r="FW14" s="1436"/>
      <c r="FX14" s="32"/>
    </row>
    <row r="15" spans="2:180" ht="36" customHeight="1">
      <c r="D15" s="55"/>
      <c r="E15" s="555"/>
      <c r="F15" s="1171"/>
      <c r="G15" s="1171"/>
      <c r="H15" s="1171"/>
      <c r="I15" s="1171"/>
      <c r="J15" s="1448"/>
      <c r="K15" s="1448"/>
      <c r="L15" s="1448"/>
      <c r="M15" s="1448"/>
      <c r="N15" s="1448"/>
      <c r="O15" s="1344"/>
      <c r="P15" s="1418"/>
      <c r="Q15" s="1344"/>
      <c r="R15" s="1418"/>
      <c r="S15" s="1344"/>
      <c r="T15" s="1418"/>
      <c r="U15" s="1344"/>
      <c r="V15" s="1418"/>
      <c r="W15" s="1344"/>
      <c r="X15" s="1418"/>
      <c r="Y15" s="1344"/>
      <c r="Z15" s="1418"/>
      <c r="AA15" s="1344"/>
      <c r="AB15" s="1418"/>
      <c r="AC15" s="1431"/>
      <c r="AD15" s="1431"/>
      <c r="AE15" s="1431"/>
      <c r="AF15" s="1431"/>
      <c r="AG15" s="1431"/>
      <c r="AH15" s="1431"/>
      <c r="AI15" s="1431"/>
      <c r="AJ15" s="1431"/>
      <c r="AK15" s="1431"/>
      <c r="AL15" s="1431"/>
      <c r="AM15" s="1431"/>
      <c r="AN15" s="1431"/>
      <c r="AO15" s="1431"/>
      <c r="AP15" s="1431"/>
      <c r="AQ15" s="1431"/>
      <c r="AR15" s="1431"/>
      <c r="AS15" s="1431"/>
      <c r="AT15" s="1431"/>
      <c r="AU15" s="1431"/>
      <c r="AV15" s="1431"/>
      <c r="AW15" s="1431"/>
      <c r="AX15" s="1431"/>
      <c r="AY15" s="1431"/>
      <c r="AZ15" s="1431"/>
      <c r="BA15" s="1431"/>
      <c r="BB15" s="1431"/>
      <c r="BC15" s="1431"/>
      <c r="BD15" s="1431"/>
      <c r="BE15" s="1431"/>
      <c r="BF15" s="1431"/>
      <c r="BG15" s="1431"/>
      <c r="BH15" s="1431"/>
      <c r="BI15" s="1431"/>
      <c r="BJ15" s="1431"/>
      <c r="BK15" s="1431"/>
      <c r="BL15" s="1431"/>
      <c r="BM15" s="1431"/>
      <c r="BN15" s="1431"/>
      <c r="BO15" s="1431"/>
      <c r="BP15" s="1431"/>
      <c r="BQ15" s="1431"/>
      <c r="BR15" s="1431"/>
      <c r="BS15" s="1432"/>
      <c r="BT15" s="1344"/>
      <c r="BU15" s="1418"/>
      <c r="BV15" s="1344"/>
      <c r="BW15" s="1418"/>
      <c r="BX15" s="1344"/>
      <c r="BY15" s="1418"/>
      <c r="BZ15" s="1344"/>
      <c r="CA15" s="1418"/>
      <c r="CB15" s="1344"/>
      <c r="CC15" s="1418"/>
      <c r="CD15" s="1344"/>
      <c r="CE15" s="1418"/>
      <c r="CF15" s="1344"/>
      <c r="CG15" s="1418"/>
      <c r="CH15" s="1344"/>
      <c r="CI15" s="1418"/>
      <c r="CJ15" s="1344"/>
      <c r="CK15" s="1418"/>
      <c r="CL15" s="1438"/>
      <c r="CM15" s="1431"/>
      <c r="CN15" s="1431"/>
      <c r="CO15" s="1431"/>
      <c r="CP15" s="1431"/>
      <c r="CQ15" s="1431"/>
      <c r="CR15" s="1431"/>
      <c r="CS15" s="1431"/>
      <c r="CT15" s="1431"/>
      <c r="CU15" s="1431"/>
      <c r="CV15" s="1431"/>
      <c r="CW15" s="1431"/>
      <c r="CX15" s="1432"/>
      <c r="CY15" s="1344"/>
      <c r="CZ15" s="1418"/>
      <c r="DA15" s="1344"/>
      <c r="DB15" s="1418"/>
      <c r="DC15" s="1344"/>
      <c r="DD15" s="1418"/>
      <c r="DE15" s="1344"/>
      <c r="DF15" s="1418"/>
      <c r="DG15" s="1344"/>
      <c r="DH15" s="1418"/>
      <c r="DI15" s="1344"/>
      <c r="DJ15" s="1418"/>
      <c r="DK15" s="1438"/>
      <c r="DL15" s="1431"/>
      <c r="DM15" s="1431"/>
      <c r="DN15" s="1431"/>
      <c r="DO15" s="1431"/>
      <c r="DP15" s="1431"/>
      <c r="DQ15" s="1431"/>
      <c r="DR15" s="1431"/>
      <c r="DS15" s="1431"/>
      <c r="DT15" s="1431"/>
      <c r="DU15" s="1431"/>
      <c r="DV15" s="1431"/>
      <c r="DW15" s="1431"/>
      <c r="DX15" s="1431"/>
      <c r="DY15" s="1431"/>
      <c r="DZ15" s="1431"/>
      <c r="EA15" s="1431"/>
      <c r="EB15" s="1431"/>
      <c r="EC15" s="1431"/>
      <c r="ED15" s="1431"/>
      <c r="EE15" s="1431"/>
      <c r="EF15" s="1431"/>
      <c r="EG15" s="1431"/>
      <c r="EH15" s="1431"/>
      <c r="EI15" s="1431"/>
      <c r="EJ15" s="1431"/>
      <c r="EK15" s="1431"/>
      <c r="EL15" s="1431"/>
      <c r="EM15" s="1431"/>
      <c r="EN15" s="1431"/>
      <c r="EO15" s="1431"/>
      <c r="EP15" s="1431"/>
      <c r="EQ15" s="1431"/>
      <c r="ER15" s="1431"/>
      <c r="ES15" s="1431"/>
      <c r="ET15" s="1431"/>
      <c r="EU15" s="1431"/>
      <c r="EV15" s="1431"/>
      <c r="EW15" s="1431"/>
      <c r="EX15" s="1431"/>
      <c r="EY15" s="1431"/>
      <c r="EZ15" s="1431"/>
      <c r="FA15" s="1431"/>
      <c r="FB15" s="1431"/>
      <c r="FC15" s="1431"/>
      <c r="FD15" s="1431"/>
      <c r="FE15" s="1431"/>
      <c r="FF15" s="1431"/>
      <c r="FG15" s="1431"/>
      <c r="FH15" s="1431"/>
      <c r="FI15" s="1431"/>
      <c r="FJ15" s="1431"/>
      <c r="FK15" s="1431"/>
      <c r="FL15" s="1431"/>
      <c r="FM15" s="1431"/>
      <c r="FN15" s="1431"/>
      <c r="FO15" s="1431"/>
      <c r="FP15" s="1431"/>
      <c r="FQ15" s="1431"/>
      <c r="FR15" s="1431"/>
      <c r="FS15" s="1431"/>
      <c r="FT15" s="1431"/>
      <c r="FU15" s="1431"/>
      <c r="FV15" s="1431"/>
      <c r="FW15" s="1436"/>
      <c r="FX15" s="32"/>
    </row>
    <row r="16" spans="2:180" ht="12" customHeight="1">
      <c r="D16" s="55"/>
      <c r="E16" s="555"/>
      <c r="F16" s="1171"/>
      <c r="G16" s="1171"/>
      <c r="H16" s="1171"/>
      <c r="I16" s="1171"/>
      <c r="J16" s="1448"/>
      <c r="K16" s="1448"/>
      <c r="L16" s="1448"/>
      <c r="M16" s="1448"/>
      <c r="N16" s="1448"/>
      <c r="O16" s="1382" t="s">
        <v>1831</v>
      </c>
      <c r="P16" s="1384"/>
      <c r="Q16" s="1382" t="s">
        <v>1833</v>
      </c>
      <c r="R16" s="1384"/>
      <c r="S16" s="1382" t="s">
        <v>1837</v>
      </c>
      <c r="T16" s="1384"/>
      <c r="U16" s="1382" t="s">
        <v>1842</v>
      </c>
      <c r="V16" s="1384"/>
      <c r="W16" s="1382" t="s">
        <v>1845</v>
      </c>
      <c r="X16" s="1384"/>
      <c r="Y16" s="1382" t="s">
        <v>1849</v>
      </c>
      <c r="Z16" s="1384"/>
      <c r="AA16" s="1382" t="s">
        <v>1852</v>
      </c>
      <c r="AB16" s="1384"/>
      <c r="AC16" s="1431"/>
      <c r="AD16" s="1431"/>
      <c r="AE16" s="1431"/>
      <c r="AF16" s="1431"/>
      <c r="AG16" s="1431"/>
      <c r="AH16" s="1431"/>
      <c r="AI16" s="1431"/>
      <c r="AJ16" s="1431"/>
      <c r="AK16" s="1431"/>
      <c r="AL16" s="1431"/>
      <c r="AM16" s="1431"/>
      <c r="AN16" s="1431"/>
      <c r="AO16" s="1431"/>
      <c r="AP16" s="1431"/>
      <c r="AQ16" s="1431"/>
      <c r="AR16" s="1431"/>
      <c r="AS16" s="1431"/>
      <c r="AT16" s="1431"/>
      <c r="AU16" s="1431"/>
      <c r="AV16" s="1431"/>
      <c r="AW16" s="1431"/>
      <c r="AX16" s="1431"/>
      <c r="AY16" s="1431"/>
      <c r="AZ16" s="1431"/>
      <c r="BA16" s="1431"/>
      <c r="BB16" s="1431"/>
      <c r="BC16" s="1431"/>
      <c r="BD16" s="1431"/>
      <c r="BE16" s="1431"/>
      <c r="BF16" s="1431"/>
      <c r="BG16" s="1431"/>
      <c r="BH16" s="1431"/>
      <c r="BI16" s="1431"/>
      <c r="BJ16" s="1431"/>
      <c r="BK16" s="1431"/>
      <c r="BL16" s="1431"/>
      <c r="BM16" s="1431"/>
      <c r="BN16" s="1431"/>
      <c r="BO16" s="1431"/>
      <c r="BP16" s="1431"/>
      <c r="BQ16" s="1431"/>
      <c r="BR16" s="1431"/>
      <c r="BS16" s="1432"/>
      <c r="BT16" s="1382" t="s">
        <v>1641</v>
      </c>
      <c r="BU16" s="1384"/>
      <c r="BV16" s="1382" t="s">
        <v>1641</v>
      </c>
      <c r="BW16" s="1384"/>
      <c r="BX16" s="1382" t="s">
        <v>1641</v>
      </c>
      <c r="BY16" s="1384"/>
      <c r="BZ16" s="1382" t="s">
        <v>1641</v>
      </c>
      <c r="CA16" s="1384"/>
      <c r="CB16" s="1382" t="s">
        <v>2059</v>
      </c>
      <c r="CC16" s="1384"/>
      <c r="CD16" s="1382" t="s">
        <v>1641</v>
      </c>
      <c r="CE16" s="1384"/>
      <c r="CF16" s="1382" t="s">
        <v>2060</v>
      </c>
      <c r="CG16" s="1384"/>
      <c r="CH16" s="1382" t="s">
        <v>2061</v>
      </c>
      <c r="CI16" s="1384"/>
      <c r="CJ16" s="1382" t="s">
        <v>2061</v>
      </c>
      <c r="CK16" s="1384"/>
      <c r="CL16" s="1438"/>
      <c r="CM16" s="1431"/>
      <c r="CN16" s="1431"/>
      <c r="CO16" s="1431"/>
      <c r="CP16" s="1431"/>
      <c r="CQ16" s="1431"/>
      <c r="CR16" s="1431"/>
      <c r="CS16" s="1431"/>
      <c r="CT16" s="1431"/>
      <c r="CU16" s="1431"/>
      <c r="CV16" s="1431"/>
      <c r="CW16" s="1431"/>
      <c r="CX16" s="1432"/>
      <c r="CY16" s="1342" t="s">
        <v>1641</v>
      </c>
      <c r="CZ16" s="1417"/>
      <c r="DA16" s="1342" t="s">
        <v>1641</v>
      </c>
      <c r="DB16" s="1417"/>
      <c r="DC16" s="1342" t="s">
        <v>1641</v>
      </c>
      <c r="DD16" s="1417"/>
      <c r="DE16" s="1382" t="s">
        <v>2059</v>
      </c>
      <c r="DF16" s="1384"/>
      <c r="DG16" s="1382" t="s">
        <v>2062</v>
      </c>
      <c r="DH16" s="1384"/>
      <c r="DI16" s="1382" t="s">
        <v>2062</v>
      </c>
      <c r="DJ16" s="1384"/>
      <c r="DK16" s="1438"/>
      <c r="DL16" s="1431"/>
      <c r="DM16" s="1431"/>
      <c r="DN16" s="1431"/>
      <c r="DO16" s="1431"/>
      <c r="DP16" s="1431"/>
      <c r="DQ16" s="1431"/>
      <c r="DR16" s="1431"/>
      <c r="DS16" s="1431"/>
      <c r="DT16" s="1431"/>
      <c r="DU16" s="1431"/>
      <c r="DV16" s="1431"/>
      <c r="DW16" s="1431"/>
      <c r="DX16" s="1431"/>
      <c r="DY16" s="1431"/>
      <c r="DZ16" s="1431"/>
      <c r="EA16" s="1431"/>
      <c r="EB16" s="1431"/>
      <c r="EC16" s="1431"/>
      <c r="ED16" s="1431"/>
      <c r="EE16" s="1431"/>
      <c r="EF16" s="1431"/>
      <c r="EG16" s="1431"/>
      <c r="EH16" s="1431"/>
      <c r="EI16" s="1431"/>
      <c r="EJ16" s="1431"/>
      <c r="EK16" s="1431"/>
      <c r="EL16" s="1431"/>
      <c r="EM16" s="1431"/>
      <c r="EN16" s="1431"/>
      <c r="EO16" s="1431"/>
      <c r="EP16" s="1431"/>
      <c r="EQ16" s="1431"/>
      <c r="ER16" s="1431"/>
      <c r="ES16" s="1431"/>
      <c r="ET16" s="1431"/>
      <c r="EU16" s="1431"/>
      <c r="EV16" s="1431"/>
      <c r="EW16" s="1431"/>
      <c r="EX16" s="1431"/>
      <c r="EY16" s="1431"/>
      <c r="EZ16" s="1431"/>
      <c r="FA16" s="1431"/>
      <c r="FB16" s="1431"/>
      <c r="FC16" s="1431"/>
      <c r="FD16" s="1431"/>
      <c r="FE16" s="1431"/>
      <c r="FF16" s="1431"/>
      <c r="FG16" s="1431"/>
      <c r="FH16" s="1431"/>
      <c r="FI16" s="1431"/>
      <c r="FJ16" s="1431"/>
      <c r="FK16" s="1431"/>
      <c r="FL16" s="1431"/>
      <c r="FM16" s="1431"/>
      <c r="FN16" s="1431"/>
      <c r="FO16" s="1431"/>
      <c r="FP16" s="1431"/>
      <c r="FQ16" s="1431"/>
      <c r="FR16" s="1431"/>
      <c r="FS16" s="1431"/>
      <c r="FT16" s="1431"/>
      <c r="FU16" s="1431"/>
      <c r="FV16" s="1431"/>
      <c r="FW16" s="1436"/>
      <c r="FX16" s="32"/>
    </row>
    <row r="17" spans="1:184" ht="15" customHeight="1">
      <c r="E17" s="555"/>
      <c r="F17" s="1171"/>
      <c r="G17" s="1171"/>
      <c r="H17" s="1171"/>
      <c r="I17" s="1171"/>
      <c r="J17" s="1448"/>
      <c r="K17" s="1448"/>
      <c r="L17" s="1448"/>
      <c r="M17" s="1448"/>
      <c r="N17" s="1448"/>
      <c r="O17" s="34" t="s">
        <v>2063</v>
      </c>
      <c r="P17" s="34" t="s">
        <v>2064</v>
      </c>
      <c r="Q17" s="34" t="s">
        <v>2063</v>
      </c>
      <c r="R17" s="34" t="s">
        <v>2064</v>
      </c>
      <c r="S17" s="34" t="s">
        <v>2063</v>
      </c>
      <c r="T17" s="34" t="s">
        <v>2064</v>
      </c>
      <c r="U17" s="34" t="s">
        <v>2063</v>
      </c>
      <c r="V17" s="34" t="s">
        <v>2064</v>
      </c>
      <c r="W17" s="34" t="s">
        <v>2063</v>
      </c>
      <c r="X17" s="34" t="s">
        <v>2064</v>
      </c>
      <c r="Y17" s="34" t="s">
        <v>2063</v>
      </c>
      <c r="Z17" s="34" t="s">
        <v>2064</v>
      </c>
      <c r="AA17" s="34" t="s">
        <v>2063</v>
      </c>
      <c r="AB17" s="34" t="s">
        <v>2064</v>
      </c>
      <c r="AC17" s="1431"/>
      <c r="AD17" s="1431"/>
      <c r="AE17" s="1431"/>
      <c r="AF17" s="1431"/>
      <c r="AG17" s="1431"/>
      <c r="AH17" s="1431"/>
      <c r="AI17" s="1431"/>
      <c r="AJ17" s="1431"/>
      <c r="AK17" s="1431"/>
      <c r="AL17" s="1431"/>
      <c r="AM17" s="1431"/>
      <c r="AN17" s="1431"/>
      <c r="AO17" s="1431"/>
      <c r="AP17" s="1431"/>
      <c r="AQ17" s="1431"/>
      <c r="AR17" s="1431"/>
      <c r="AS17" s="1431"/>
      <c r="AT17" s="1431"/>
      <c r="AU17" s="1431"/>
      <c r="AV17" s="1431"/>
      <c r="AW17" s="1431"/>
      <c r="AX17" s="1431"/>
      <c r="AY17" s="1431"/>
      <c r="AZ17" s="1431"/>
      <c r="BA17" s="1431"/>
      <c r="BB17" s="1431"/>
      <c r="BC17" s="1431"/>
      <c r="BD17" s="1431"/>
      <c r="BE17" s="1431"/>
      <c r="BF17" s="1431"/>
      <c r="BG17" s="1431"/>
      <c r="BH17" s="1431"/>
      <c r="BI17" s="1431"/>
      <c r="BJ17" s="1431"/>
      <c r="BK17" s="1431"/>
      <c r="BL17" s="1431"/>
      <c r="BM17" s="1431"/>
      <c r="BN17" s="1431"/>
      <c r="BO17" s="1431"/>
      <c r="BP17" s="1431"/>
      <c r="BQ17" s="1431"/>
      <c r="BR17" s="1431"/>
      <c r="BS17" s="1432"/>
      <c r="BT17" s="34" t="s">
        <v>2063</v>
      </c>
      <c r="BU17" s="34" t="s">
        <v>2064</v>
      </c>
      <c r="BV17" s="34" t="s">
        <v>2063</v>
      </c>
      <c r="BW17" s="34" t="s">
        <v>2064</v>
      </c>
      <c r="BX17" s="34" t="s">
        <v>2063</v>
      </c>
      <c r="BY17" s="34" t="s">
        <v>2064</v>
      </c>
      <c r="BZ17" s="34" t="s">
        <v>2063</v>
      </c>
      <c r="CA17" s="34" t="s">
        <v>2064</v>
      </c>
      <c r="CB17" s="34" t="s">
        <v>2063</v>
      </c>
      <c r="CC17" s="34" t="s">
        <v>2064</v>
      </c>
      <c r="CD17" s="34" t="s">
        <v>2063</v>
      </c>
      <c r="CE17" s="34" t="s">
        <v>2064</v>
      </c>
      <c r="CF17" s="34" t="s">
        <v>2063</v>
      </c>
      <c r="CG17" s="34" t="s">
        <v>2064</v>
      </c>
      <c r="CH17" s="34" t="s">
        <v>2063</v>
      </c>
      <c r="CI17" s="34" t="s">
        <v>2064</v>
      </c>
      <c r="CJ17" s="34" t="s">
        <v>2063</v>
      </c>
      <c r="CK17" s="34" t="s">
        <v>2064</v>
      </c>
      <c r="CL17" s="1438"/>
      <c r="CM17" s="1431"/>
      <c r="CN17" s="1431"/>
      <c r="CO17" s="1431"/>
      <c r="CP17" s="1431"/>
      <c r="CQ17" s="1431"/>
      <c r="CR17" s="1431"/>
      <c r="CS17" s="1431"/>
      <c r="CT17" s="1431"/>
      <c r="CU17" s="1431"/>
      <c r="CV17" s="1431"/>
      <c r="CW17" s="1431"/>
      <c r="CX17" s="1432"/>
      <c r="CY17" s="34" t="s">
        <v>2063</v>
      </c>
      <c r="CZ17" s="34" t="s">
        <v>2064</v>
      </c>
      <c r="DA17" s="34" t="s">
        <v>2063</v>
      </c>
      <c r="DB17" s="34" t="s">
        <v>2064</v>
      </c>
      <c r="DC17" s="34" t="s">
        <v>2063</v>
      </c>
      <c r="DD17" s="34" t="s">
        <v>2064</v>
      </c>
      <c r="DE17" s="34" t="s">
        <v>2063</v>
      </c>
      <c r="DF17" s="34" t="s">
        <v>2064</v>
      </c>
      <c r="DG17" s="34" t="s">
        <v>2063</v>
      </c>
      <c r="DH17" s="34" t="s">
        <v>2064</v>
      </c>
      <c r="DI17" s="34" t="s">
        <v>2063</v>
      </c>
      <c r="DJ17" s="34" t="s">
        <v>2064</v>
      </c>
      <c r="DK17" s="1438"/>
      <c r="DL17" s="1431"/>
      <c r="DM17" s="1431"/>
      <c r="DN17" s="1431"/>
      <c r="DO17" s="1431"/>
      <c r="DP17" s="1431"/>
      <c r="DQ17" s="1431"/>
      <c r="DR17" s="1431"/>
      <c r="DS17" s="1431"/>
      <c r="DT17" s="1431"/>
      <c r="DU17" s="1431"/>
      <c r="DV17" s="1431"/>
      <c r="DW17" s="1431"/>
      <c r="DX17" s="1431"/>
      <c r="DY17" s="1431"/>
      <c r="DZ17" s="1431"/>
      <c r="EA17" s="1431"/>
      <c r="EB17" s="1431"/>
      <c r="EC17" s="1431"/>
      <c r="ED17" s="1431"/>
      <c r="EE17" s="1431"/>
      <c r="EF17" s="1431"/>
      <c r="EG17" s="1431"/>
      <c r="EH17" s="1431"/>
      <c r="EI17" s="1431"/>
      <c r="EJ17" s="1431"/>
      <c r="EK17" s="1431"/>
      <c r="EL17" s="1431"/>
      <c r="EM17" s="1431"/>
      <c r="EN17" s="1431"/>
      <c r="EO17" s="1431"/>
      <c r="EP17" s="1431"/>
      <c r="EQ17" s="1431"/>
      <c r="ER17" s="1431"/>
      <c r="ES17" s="1431"/>
      <c r="ET17" s="1431"/>
      <c r="EU17" s="1431"/>
      <c r="EV17" s="1431"/>
      <c r="EW17" s="1431"/>
      <c r="EX17" s="1431"/>
      <c r="EY17" s="1431"/>
      <c r="EZ17" s="1431"/>
      <c r="FA17" s="1431"/>
      <c r="FB17" s="1431"/>
      <c r="FC17" s="1431"/>
      <c r="FD17" s="1431"/>
      <c r="FE17" s="1431"/>
      <c r="FF17" s="1431"/>
      <c r="FG17" s="1431"/>
      <c r="FH17" s="1431"/>
      <c r="FI17" s="1431"/>
      <c r="FJ17" s="1431"/>
      <c r="FK17" s="1431"/>
      <c r="FL17" s="1431"/>
      <c r="FM17" s="1431"/>
      <c r="FN17" s="1431"/>
      <c r="FO17" s="1431"/>
      <c r="FP17" s="1431"/>
      <c r="FQ17" s="1431"/>
      <c r="FR17" s="1431"/>
      <c r="FS17" s="1431"/>
      <c r="FT17" s="1431"/>
      <c r="FU17" s="1431"/>
      <c r="FV17" s="1431"/>
      <c r="FW17" s="1437"/>
      <c r="FX17" s="32"/>
    </row>
    <row r="18" spans="1:184" s="548" customFormat="1" ht="12" hidden="1" customHeight="1">
      <c r="B18" s="549"/>
      <c r="E18" s="556"/>
      <c r="F18" s="703"/>
      <c r="G18" s="703"/>
      <c r="H18" s="703"/>
      <c r="I18" s="703"/>
      <c r="J18" s="704"/>
      <c r="K18" s="704"/>
      <c r="L18" s="704"/>
      <c r="M18" s="704"/>
      <c r="N18" s="704"/>
      <c r="O18" s="703"/>
      <c r="P18" s="703"/>
      <c r="Q18" s="703"/>
      <c r="R18" s="703"/>
      <c r="S18" s="703"/>
      <c r="T18" s="703"/>
      <c r="U18" s="705"/>
      <c r="V18" s="705"/>
      <c r="W18" s="705"/>
      <c r="X18" s="705"/>
      <c r="Y18" s="705"/>
      <c r="Z18" s="705"/>
      <c r="AA18" s="705"/>
      <c r="AB18" s="703"/>
      <c r="AC18" s="704"/>
      <c r="AD18" s="704"/>
      <c r="AE18" s="704"/>
      <c r="AF18" s="704"/>
      <c r="AG18" s="704"/>
      <c r="AH18" s="704"/>
      <c r="AI18" s="704"/>
      <c r="AJ18" s="704"/>
      <c r="AK18" s="704"/>
      <c r="AL18" s="704"/>
      <c r="AM18" s="704"/>
      <c r="AN18" s="704"/>
      <c r="AO18" s="704"/>
      <c r="AP18" s="704"/>
      <c r="AQ18" s="704"/>
      <c r="AR18" s="704"/>
      <c r="AS18" s="704"/>
      <c r="AT18" s="704"/>
      <c r="AU18" s="704"/>
      <c r="AV18" s="704"/>
      <c r="AW18" s="704"/>
      <c r="AX18" s="704"/>
      <c r="AY18" s="704"/>
      <c r="AZ18" s="704"/>
      <c r="BA18" s="704"/>
      <c r="BB18" s="704"/>
      <c r="BC18" s="704"/>
      <c r="BD18" s="704"/>
      <c r="BE18" s="704"/>
      <c r="BF18" s="704"/>
      <c r="BG18" s="704"/>
      <c r="BH18" s="704"/>
      <c r="BI18" s="704"/>
      <c r="BJ18" s="704"/>
      <c r="BK18" s="704"/>
      <c r="BL18" s="704"/>
      <c r="BM18" s="704"/>
      <c r="BN18" s="704"/>
      <c r="BO18" s="704"/>
      <c r="BP18" s="704"/>
      <c r="BQ18" s="704"/>
      <c r="BR18" s="704"/>
      <c r="BS18" s="704"/>
      <c r="BT18" s="706"/>
      <c r="BU18" s="706"/>
      <c r="BV18" s="706"/>
      <c r="BW18" s="706"/>
      <c r="BX18" s="706"/>
      <c r="BY18" s="706"/>
      <c r="BZ18" s="706"/>
      <c r="CA18" s="706"/>
      <c r="CB18" s="706"/>
      <c r="CC18" s="706"/>
      <c r="CD18" s="706"/>
      <c r="CE18" s="706"/>
      <c r="CF18" s="706"/>
      <c r="CG18" s="706"/>
      <c r="CH18" s="706"/>
      <c r="CI18" s="706"/>
      <c r="CJ18" s="706"/>
      <c r="CK18" s="706"/>
      <c r="CL18" s="704"/>
      <c r="CM18" s="704"/>
      <c r="CN18" s="704"/>
      <c r="CO18" s="704"/>
      <c r="CP18" s="704"/>
      <c r="CQ18" s="704"/>
      <c r="CR18" s="704"/>
      <c r="CS18" s="704"/>
      <c r="CT18" s="704"/>
      <c r="CU18" s="704"/>
      <c r="CV18" s="704"/>
      <c r="CW18" s="704"/>
      <c r="CX18" s="704"/>
      <c r="CY18" s="706"/>
      <c r="CZ18" s="706"/>
      <c r="DA18" s="706"/>
      <c r="DB18" s="706"/>
      <c r="DC18" s="706"/>
      <c r="DD18" s="706"/>
      <c r="DE18" s="706"/>
      <c r="DF18" s="706"/>
      <c r="DG18" s="706"/>
      <c r="DH18" s="706"/>
      <c r="DI18" s="706"/>
      <c r="DJ18" s="706"/>
      <c r="DK18" s="704"/>
      <c r="DL18" s="704"/>
      <c r="DM18" s="704"/>
      <c r="DN18" s="704"/>
      <c r="DO18" s="704"/>
      <c r="DP18" s="704"/>
      <c r="DQ18" s="704"/>
      <c r="DR18" s="704"/>
      <c r="DS18" s="704"/>
      <c r="DT18" s="704"/>
      <c r="DU18" s="704"/>
      <c r="DV18" s="704"/>
      <c r="DW18" s="704"/>
      <c r="DX18" s="704"/>
      <c r="DY18" s="704"/>
      <c r="DZ18" s="704"/>
      <c r="EA18" s="704"/>
      <c r="EB18" s="704"/>
      <c r="EC18" s="704"/>
      <c r="ED18" s="704"/>
      <c r="EE18" s="704"/>
      <c r="EF18" s="704"/>
      <c r="EG18" s="704"/>
      <c r="EH18" s="704"/>
      <c r="EI18" s="704"/>
      <c r="EJ18" s="704"/>
      <c r="EK18" s="704"/>
      <c r="EL18" s="704"/>
      <c r="EM18" s="704"/>
      <c r="EN18" s="704"/>
      <c r="EO18" s="704"/>
      <c r="EP18" s="704"/>
      <c r="EQ18" s="704"/>
      <c r="ER18" s="704"/>
      <c r="ES18" s="704"/>
      <c r="ET18" s="704"/>
      <c r="EU18" s="704"/>
      <c r="EV18" s="704"/>
      <c r="EW18" s="704"/>
      <c r="EX18" s="704"/>
      <c r="EY18" s="704"/>
      <c r="EZ18" s="704"/>
      <c r="FA18" s="704"/>
      <c r="FB18" s="704"/>
      <c r="FC18" s="704"/>
      <c r="FD18" s="704"/>
      <c r="FE18" s="704"/>
      <c r="FF18" s="704"/>
      <c r="FG18" s="704"/>
      <c r="FH18" s="704"/>
      <c r="FI18" s="704"/>
      <c r="FJ18" s="704"/>
      <c r="FK18" s="704"/>
      <c r="FL18" s="704"/>
      <c r="FM18" s="704"/>
      <c r="FN18" s="704"/>
      <c r="FO18" s="704"/>
      <c r="FP18" s="704"/>
      <c r="FQ18" s="704"/>
      <c r="FR18" s="704"/>
      <c r="FS18" s="704"/>
      <c r="FT18" s="704"/>
      <c r="FU18" s="704"/>
      <c r="FV18" s="704"/>
      <c r="FW18" s="703"/>
      <c r="FX18" s="220"/>
    </row>
    <row r="19" spans="1:184" s="548" customFormat="1" ht="11.25" hidden="1" customHeight="1">
      <c r="B19" s="549"/>
      <c r="E19" s="556"/>
      <c r="F19" s="703"/>
      <c r="G19" s="703"/>
      <c r="H19" s="703"/>
      <c r="I19" s="703"/>
      <c r="J19" s="703"/>
      <c r="K19" s="703"/>
      <c r="L19" s="703"/>
      <c r="M19" s="703"/>
      <c r="N19" s="703"/>
      <c r="O19" s="703"/>
      <c r="P19" s="703"/>
      <c r="Q19" s="703"/>
      <c r="R19" s="703"/>
      <c r="S19" s="703"/>
      <c r="T19" s="703"/>
      <c r="U19" s="705"/>
      <c r="V19" s="705"/>
      <c r="W19" s="705"/>
      <c r="X19" s="705"/>
      <c r="Y19" s="705"/>
      <c r="Z19" s="705"/>
      <c r="AA19" s="705"/>
      <c r="AB19" s="703"/>
      <c r="AC19" s="703"/>
      <c r="AD19" s="703"/>
      <c r="AE19" s="703"/>
      <c r="AF19" s="703"/>
      <c r="AG19" s="703"/>
      <c r="AH19" s="703"/>
      <c r="AI19" s="703"/>
      <c r="AJ19" s="703"/>
      <c r="AK19" s="703"/>
      <c r="AL19" s="703"/>
      <c r="AM19" s="703"/>
      <c r="AN19" s="703"/>
      <c r="AO19" s="703"/>
      <c r="AP19" s="703"/>
      <c r="AQ19" s="703"/>
      <c r="AR19" s="703"/>
      <c r="AS19" s="703"/>
      <c r="AT19" s="703"/>
      <c r="AU19" s="703"/>
      <c r="AV19" s="703"/>
      <c r="AW19" s="703"/>
      <c r="AX19" s="703"/>
      <c r="AY19" s="703"/>
      <c r="AZ19" s="703"/>
      <c r="BA19" s="703"/>
      <c r="BB19" s="703"/>
      <c r="BC19" s="703"/>
      <c r="BD19" s="703"/>
      <c r="BE19" s="703"/>
      <c r="BF19" s="703"/>
      <c r="BG19" s="703"/>
      <c r="BH19" s="703"/>
      <c r="BI19" s="703"/>
      <c r="BJ19" s="703"/>
      <c r="BK19" s="703"/>
      <c r="BL19" s="703"/>
      <c r="BM19" s="703"/>
      <c r="BN19" s="703"/>
      <c r="BO19" s="703"/>
      <c r="BP19" s="703"/>
      <c r="BQ19" s="703"/>
      <c r="BR19" s="703"/>
      <c r="BS19" s="703"/>
      <c r="BT19" s="703"/>
      <c r="BU19" s="703"/>
      <c r="BV19" s="703"/>
      <c r="BW19" s="703"/>
      <c r="BX19" s="703"/>
      <c r="BY19" s="703"/>
      <c r="BZ19" s="703"/>
      <c r="CA19" s="703"/>
      <c r="CB19" s="703"/>
      <c r="CC19" s="703"/>
      <c r="CD19" s="703"/>
      <c r="CE19" s="703"/>
      <c r="CF19" s="703"/>
      <c r="CG19" s="703"/>
      <c r="CH19" s="703"/>
      <c r="CI19" s="703"/>
      <c r="CJ19" s="703"/>
      <c r="CK19" s="703"/>
      <c r="CL19" s="703"/>
      <c r="CM19" s="703"/>
      <c r="CN19" s="703"/>
      <c r="CO19" s="703"/>
      <c r="CP19" s="703"/>
      <c r="CQ19" s="703"/>
      <c r="CR19" s="703"/>
      <c r="CS19" s="703"/>
      <c r="CT19" s="703"/>
      <c r="CU19" s="703"/>
      <c r="CV19" s="703"/>
      <c r="CW19" s="703"/>
      <c r="CX19" s="703"/>
      <c r="CY19" s="703"/>
      <c r="CZ19" s="703"/>
      <c r="DA19" s="703"/>
      <c r="DB19" s="703"/>
      <c r="DC19" s="703"/>
      <c r="DD19" s="703"/>
      <c r="DE19" s="703"/>
      <c r="DF19" s="703"/>
      <c r="DG19" s="703"/>
      <c r="DH19" s="703"/>
      <c r="DI19" s="703"/>
      <c r="DJ19" s="703"/>
      <c r="DK19" s="703"/>
      <c r="DL19" s="703"/>
      <c r="DM19" s="703"/>
      <c r="DN19" s="703"/>
      <c r="DO19" s="703"/>
      <c r="DP19" s="703"/>
      <c r="DQ19" s="703"/>
      <c r="DR19" s="703"/>
      <c r="DS19" s="703"/>
      <c r="DT19" s="703"/>
      <c r="DU19" s="703"/>
      <c r="DV19" s="703"/>
      <c r="DW19" s="703"/>
      <c r="DX19" s="703"/>
      <c r="DY19" s="703"/>
      <c r="DZ19" s="703"/>
      <c r="EA19" s="703"/>
      <c r="EB19" s="703"/>
      <c r="EC19" s="703"/>
      <c r="ED19" s="703"/>
      <c r="EE19" s="703"/>
      <c r="EF19" s="703"/>
      <c r="EG19" s="703"/>
      <c r="EH19" s="703"/>
      <c r="EI19" s="703"/>
      <c r="EJ19" s="703"/>
      <c r="EK19" s="703"/>
      <c r="EL19" s="703"/>
      <c r="EM19" s="703"/>
      <c r="EN19" s="703"/>
      <c r="EO19" s="703"/>
      <c r="EP19" s="703"/>
      <c r="EQ19" s="703"/>
      <c r="ER19" s="703"/>
      <c r="ES19" s="703"/>
      <c r="ET19" s="703"/>
      <c r="EU19" s="703"/>
      <c r="EV19" s="703"/>
      <c r="EW19" s="703"/>
      <c r="EX19" s="703"/>
      <c r="EY19" s="703"/>
      <c r="EZ19" s="703"/>
      <c r="FA19" s="703"/>
      <c r="FB19" s="703"/>
      <c r="FC19" s="703"/>
      <c r="FD19" s="703"/>
      <c r="FE19" s="703"/>
      <c r="FF19" s="703"/>
      <c r="FG19" s="703"/>
      <c r="FH19" s="703"/>
      <c r="FI19" s="703"/>
      <c r="FJ19" s="703"/>
      <c r="FK19" s="703"/>
      <c r="FL19" s="703"/>
      <c r="FM19" s="703"/>
      <c r="FN19" s="703"/>
      <c r="FO19" s="703"/>
      <c r="FP19" s="703"/>
      <c r="FQ19" s="703"/>
      <c r="FR19" s="703"/>
      <c r="FS19" s="703"/>
      <c r="FT19" s="703"/>
      <c r="FU19" s="703"/>
      <c r="FV19" s="703"/>
      <c r="FW19" s="703"/>
      <c r="FX19" s="220"/>
    </row>
    <row r="20" spans="1:184" s="548" customFormat="1" ht="11.25" hidden="1" customHeight="1">
      <c r="B20" s="549"/>
      <c r="E20" s="556"/>
      <c r="F20" s="707" t="s">
        <v>380</v>
      </c>
      <c r="G20" s="708"/>
      <c r="H20" s="709"/>
      <c r="I20" s="709"/>
      <c r="J20" s="709"/>
      <c r="K20" s="709"/>
      <c r="L20" s="709"/>
      <c r="M20" s="709"/>
      <c r="N20" s="709"/>
      <c r="O20" s="708"/>
      <c r="P20" s="708"/>
      <c r="Q20" s="708"/>
      <c r="R20" s="708"/>
      <c r="S20" s="708"/>
      <c r="T20" s="708"/>
      <c r="U20" s="710"/>
      <c r="V20" s="710"/>
      <c r="W20" s="710"/>
      <c r="X20" s="710"/>
      <c r="Y20" s="710"/>
      <c r="Z20" s="710"/>
      <c r="AA20" s="710"/>
      <c r="AB20" s="708"/>
      <c r="AC20" s="709"/>
      <c r="AD20" s="709"/>
      <c r="AE20" s="709"/>
      <c r="AF20" s="709"/>
      <c r="AG20" s="709"/>
      <c r="AH20" s="709"/>
      <c r="AI20" s="709"/>
      <c r="AJ20" s="709"/>
      <c r="AK20" s="709"/>
      <c r="AL20" s="709"/>
      <c r="AM20" s="709"/>
      <c r="AN20" s="709"/>
      <c r="AO20" s="709"/>
      <c r="AP20" s="709"/>
      <c r="AQ20" s="709"/>
      <c r="AR20" s="709"/>
      <c r="AS20" s="709"/>
      <c r="AT20" s="709"/>
      <c r="AU20" s="709"/>
      <c r="AV20" s="709"/>
      <c r="AW20" s="709"/>
      <c r="AX20" s="709"/>
      <c r="AY20" s="709"/>
      <c r="AZ20" s="709"/>
      <c r="BA20" s="709"/>
      <c r="BB20" s="709"/>
      <c r="BC20" s="709"/>
      <c r="BD20" s="709"/>
      <c r="BE20" s="709"/>
      <c r="BF20" s="709"/>
      <c r="BG20" s="709"/>
      <c r="BH20" s="709"/>
      <c r="BI20" s="709"/>
      <c r="BJ20" s="709"/>
      <c r="BK20" s="709"/>
      <c r="BL20" s="709"/>
      <c r="BM20" s="709"/>
      <c r="BN20" s="709"/>
      <c r="BO20" s="709"/>
      <c r="BP20" s="709"/>
      <c r="BQ20" s="709"/>
      <c r="BR20" s="709"/>
      <c r="BS20" s="709"/>
      <c r="BT20" s="709"/>
      <c r="BU20" s="709"/>
      <c r="BV20" s="709"/>
      <c r="BW20" s="709"/>
      <c r="BX20" s="709"/>
      <c r="BY20" s="709"/>
      <c r="BZ20" s="709"/>
      <c r="CA20" s="709"/>
      <c r="CB20" s="709"/>
      <c r="CC20" s="709"/>
      <c r="CD20" s="709"/>
      <c r="CE20" s="709"/>
      <c r="CF20" s="709"/>
      <c r="CG20" s="709"/>
      <c r="CH20" s="709"/>
      <c r="CI20" s="709"/>
      <c r="CJ20" s="709"/>
      <c r="CK20" s="709"/>
      <c r="CL20" s="711"/>
      <c r="CM20" s="711"/>
      <c r="CN20" s="711"/>
      <c r="CO20" s="711"/>
      <c r="CP20" s="711"/>
      <c r="CQ20" s="711"/>
      <c r="CR20" s="711"/>
      <c r="CS20" s="711"/>
      <c r="CT20" s="711"/>
      <c r="CU20" s="711"/>
      <c r="CV20" s="711"/>
      <c r="CW20" s="711"/>
      <c r="CX20" s="711"/>
      <c r="CY20" s="711"/>
      <c r="CZ20" s="711"/>
      <c r="DA20" s="711"/>
      <c r="DB20" s="711"/>
      <c r="DC20" s="711"/>
      <c r="DD20" s="711"/>
      <c r="DE20" s="711"/>
      <c r="DF20" s="711"/>
      <c r="DG20" s="711"/>
      <c r="DH20" s="711"/>
      <c r="DI20" s="711"/>
      <c r="DJ20" s="711"/>
      <c r="DK20" s="711"/>
      <c r="DL20" s="711"/>
      <c r="DM20" s="711"/>
      <c r="DN20" s="711"/>
      <c r="DO20" s="711"/>
      <c r="DP20" s="711"/>
      <c r="DQ20" s="711"/>
      <c r="DR20" s="711"/>
      <c r="DS20" s="711"/>
      <c r="DT20" s="711"/>
      <c r="DU20" s="711"/>
      <c r="DV20" s="711"/>
      <c r="DW20" s="711"/>
      <c r="DX20" s="711"/>
      <c r="DY20" s="711"/>
      <c r="DZ20" s="711"/>
      <c r="EA20" s="711"/>
      <c r="EB20" s="711"/>
      <c r="EC20" s="711"/>
      <c r="ED20" s="711"/>
      <c r="EE20" s="711"/>
      <c r="EF20" s="711"/>
      <c r="EG20" s="711"/>
      <c r="EH20" s="711"/>
      <c r="EI20" s="711"/>
      <c r="EJ20" s="711"/>
      <c r="EK20" s="711"/>
      <c r="EL20" s="711"/>
      <c r="EM20" s="711"/>
      <c r="EN20" s="711"/>
      <c r="EO20" s="711"/>
      <c r="EP20" s="711"/>
      <c r="EQ20" s="711"/>
      <c r="ER20" s="711"/>
      <c r="ES20" s="711"/>
      <c r="ET20" s="711"/>
      <c r="EU20" s="711"/>
      <c r="EV20" s="711"/>
      <c r="EW20" s="711"/>
      <c r="EX20" s="711"/>
      <c r="EY20" s="711"/>
      <c r="EZ20" s="711"/>
      <c r="FA20" s="711"/>
      <c r="FB20" s="711"/>
      <c r="FC20" s="711"/>
      <c r="FD20" s="711"/>
      <c r="FE20" s="711"/>
      <c r="FF20" s="711"/>
      <c r="FG20" s="711"/>
      <c r="FH20" s="711"/>
      <c r="FI20" s="711"/>
      <c r="FJ20" s="711"/>
      <c r="FK20" s="711"/>
      <c r="FL20" s="711"/>
      <c r="FM20" s="711"/>
      <c r="FN20" s="711"/>
      <c r="FO20" s="711"/>
      <c r="FP20" s="711"/>
      <c r="FQ20" s="711"/>
      <c r="FR20" s="711"/>
      <c r="FS20" s="711"/>
      <c r="FT20" s="711"/>
      <c r="FU20" s="711"/>
      <c r="FV20" s="711"/>
      <c r="FW20" s="711"/>
      <c r="FX20" s="220"/>
    </row>
    <row r="21" spans="1:184" s="548" customFormat="1" ht="12" customHeight="1">
      <c r="A21" s="55"/>
      <c r="B21" s="55"/>
      <c r="C21" s="55"/>
      <c r="D21" s="55"/>
      <c r="E21" s="55"/>
      <c r="F21" s="556"/>
      <c r="G21" s="556"/>
      <c r="H21" s="556"/>
      <c r="I21" s="556"/>
      <c r="J21" s="556"/>
      <c r="K21" s="556"/>
      <c r="L21" s="556"/>
      <c r="M21" s="556"/>
      <c r="N21" s="556"/>
      <c r="O21" s="556"/>
      <c r="P21" s="556"/>
      <c r="Q21" s="556"/>
      <c r="R21" s="556"/>
      <c r="S21" s="557"/>
      <c r="T21" s="557"/>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6"/>
      <c r="AY21" s="556"/>
      <c r="AZ21" s="556"/>
      <c r="BA21" s="556"/>
      <c r="BB21" s="556"/>
      <c r="BC21" s="556"/>
      <c r="BD21" s="556"/>
      <c r="BE21" s="556"/>
      <c r="BF21" s="556"/>
      <c r="BG21" s="556"/>
      <c r="BH21" s="556"/>
      <c r="BI21" s="556"/>
      <c r="BJ21" s="556"/>
      <c r="BK21" s="556"/>
      <c r="BL21" s="556"/>
      <c r="BM21" s="556"/>
      <c r="BN21" s="556"/>
      <c r="BO21" s="556"/>
      <c r="BP21" s="556"/>
      <c r="BQ21" s="556"/>
      <c r="BR21" s="556"/>
      <c r="BS21" s="556"/>
      <c r="BT21" s="556"/>
      <c r="BU21" s="556"/>
      <c r="BV21" s="556"/>
      <c r="BW21" s="556"/>
      <c r="BX21" s="556"/>
      <c r="BY21" s="556"/>
      <c r="BZ21" s="556"/>
      <c r="CA21" s="556"/>
      <c r="CB21" s="556"/>
      <c r="CC21" s="556"/>
      <c r="CD21" s="556"/>
      <c r="CE21" s="556"/>
      <c r="CF21" s="556"/>
      <c r="CG21" s="556"/>
      <c r="CH21" s="556"/>
      <c r="CI21" s="556"/>
      <c r="CJ21" s="556"/>
      <c r="CK21" s="556"/>
      <c r="CL21" s="556"/>
      <c r="CM21" s="556"/>
      <c r="CN21" s="556"/>
      <c r="CO21" s="556"/>
      <c r="CP21" s="556"/>
      <c r="CQ21" s="556"/>
      <c r="CR21" s="556"/>
      <c r="CS21" s="556"/>
      <c r="CT21" s="556"/>
      <c r="CU21" s="556"/>
      <c r="CV21" s="556"/>
      <c r="CW21" s="556"/>
      <c r="CX21" s="556"/>
      <c r="CY21" s="556"/>
      <c r="CZ21" s="556"/>
      <c r="DA21" s="556"/>
      <c r="DB21" s="556"/>
      <c r="DC21" s="556"/>
      <c r="DD21" s="556"/>
      <c r="DE21" s="556"/>
      <c r="DF21" s="556"/>
      <c r="DG21" s="556"/>
      <c r="DH21" s="556"/>
      <c r="DI21" s="556"/>
      <c r="DJ21" s="556"/>
      <c r="DK21" s="556"/>
      <c r="DL21" s="556"/>
      <c r="DM21" s="556"/>
      <c r="DN21" s="556"/>
      <c r="DO21" s="556"/>
      <c r="DP21" s="556"/>
      <c r="DQ21" s="556"/>
      <c r="DR21" s="556"/>
      <c r="DS21" s="556"/>
      <c r="DT21" s="556"/>
      <c r="DU21" s="556"/>
      <c r="DV21" s="556"/>
      <c r="DW21" s="556"/>
      <c r="DX21" s="556"/>
      <c r="DY21" s="556"/>
      <c r="DZ21" s="556"/>
      <c r="EA21" s="556"/>
      <c r="EB21" s="556"/>
      <c r="EC21" s="556"/>
      <c r="ED21" s="556"/>
      <c r="EE21" s="556"/>
      <c r="EF21" s="556"/>
      <c r="EG21" s="556"/>
      <c r="EH21" s="556"/>
      <c r="EI21" s="556"/>
      <c r="EJ21" s="556"/>
      <c r="EK21" s="556"/>
      <c r="EL21" s="556"/>
      <c r="EM21" s="556"/>
      <c r="EN21" s="556"/>
      <c r="EO21" s="556"/>
      <c r="EP21" s="556"/>
      <c r="EQ21" s="556"/>
      <c r="ER21" s="556"/>
      <c r="ES21" s="556"/>
      <c r="ET21" s="556"/>
      <c r="EU21" s="556"/>
      <c r="EV21" s="556"/>
      <c r="EW21" s="556"/>
      <c r="EX21" s="556"/>
      <c r="EY21" s="556"/>
      <c r="EZ21" s="556"/>
      <c r="FA21" s="556"/>
      <c r="FB21" s="556"/>
      <c r="FC21" s="556"/>
      <c r="FD21" s="556"/>
      <c r="FE21" s="556"/>
      <c r="FF21" s="556"/>
      <c r="FG21" s="556"/>
      <c r="FH21" s="556"/>
      <c r="FI21" s="556"/>
      <c r="FJ21" s="556"/>
      <c r="FK21" s="556"/>
      <c r="FL21" s="556"/>
      <c r="FM21" s="556"/>
      <c r="FN21" s="556"/>
      <c r="FO21" s="556"/>
      <c r="FP21" s="556"/>
      <c r="FQ21" s="556"/>
      <c r="FR21" s="556"/>
      <c r="FS21" s="556"/>
      <c r="FT21" s="556"/>
      <c r="FU21" s="556"/>
      <c r="FV21" s="556"/>
      <c r="FW21" s="556"/>
      <c r="FX21" s="55"/>
      <c r="FY21" s="55"/>
      <c r="FZ21" s="55"/>
      <c r="GA21" s="55"/>
      <c r="GB21" s="55"/>
    </row>
    <row r="22" spans="1:184" s="548" customFormat="1" ht="12" customHeight="1">
      <c r="A22" s="55"/>
      <c r="B22" s="55"/>
      <c r="C22" s="55"/>
      <c r="D22" s="55"/>
      <c r="E22" s="55"/>
      <c r="FX22" s="55"/>
      <c r="FY22" s="55"/>
      <c r="FZ22" s="55"/>
      <c r="GA22" s="55"/>
      <c r="GB22" s="55"/>
    </row>
    <row r="23" spans="1:184" s="550" customFormat="1" ht="12" customHeight="1">
      <c r="A23" s="55"/>
      <c r="B23" s="55"/>
      <c r="C23" s="55"/>
      <c r="D23" s="55"/>
      <c r="E23" s="55"/>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640"/>
      <c r="BU23" s="640"/>
      <c r="BV23" s="640"/>
      <c r="BW23" s="640"/>
      <c r="BX23" s="640"/>
      <c r="BY23" s="640"/>
      <c r="BZ23" s="640"/>
      <c r="CA23" s="640"/>
      <c r="CB23" s="640"/>
      <c r="CC23" s="640"/>
      <c r="CD23" s="640"/>
      <c r="CE23" s="640"/>
      <c r="CF23" s="640"/>
      <c r="CG23" s="640"/>
      <c r="CH23" s="640"/>
      <c r="CI23" s="640"/>
      <c r="CJ23" s="640"/>
      <c r="CK23" s="640"/>
      <c r="CL23" s="640"/>
      <c r="CM23" s="640"/>
      <c r="CN23" s="640"/>
      <c r="CO23" s="640"/>
      <c r="CP23" s="640"/>
      <c r="CQ23" s="640"/>
      <c r="CR23" s="640"/>
      <c r="CS23" s="640"/>
      <c r="CT23" s="640"/>
      <c r="CU23" s="640"/>
      <c r="CV23" s="640"/>
      <c r="CW23" s="640"/>
      <c r="CX23" s="640"/>
      <c r="CY23" s="640"/>
      <c r="CZ23" s="640"/>
      <c r="DA23" s="640"/>
      <c r="DB23" s="640"/>
      <c r="DC23" s="640"/>
      <c r="DD23" s="640"/>
      <c r="DE23" s="640"/>
      <c r="DF23" s="640"/>
      <c r="DG23" s="640"/>
      <c r="DH23" s="640"/>
      <c r="DI23" s="640"/>
      <c r="DJ23" s="640"/>
      <c r="DK23" s="640"/>
      <c r="DL23" s="640"/>
      <c r="DM23" s="640"/>
      <c r="DN23" s="640"/>
      <c r="DO23" s="640"/>
      <c r="DP23" s="640"/>
      <c r="DQ23" s="640"/>
      <c r="DR23" s="640"/>
      <c r="DS23" s="640"/>
      <c r="DT23" s="640"/>
      <c r="DU23" s="640"/>
      <c r="DV23" s="640"/>
      <c r="DW23" s="640"/>
      <c r="DX23" s="640"/>
      <c r="FX23" s="55"/>
      <c r="FY23" s="55"/>
      <c r="FZ23" s="55"/>
      <c r="GA23" s="55"/>
      <c r="GB23" s="55"/>
    </row>
    <row r="24" spans="1:184" ht="12" customHeight="1">
      <c r="S24" s="55"/>
      <c r="T24" s="55"/>
      <c r="U24" s="55"/>
      <c r="V24" s="55"/>
      <c r="W24" s="55"/>
      <c r="X24" s="55"/>
      <c r="Y24" s="55"/>
      <c r="Z24" s="55"/>
      <c r="AA24" s="55"/>
      <c r="AB24" s="55"/>
      <c r="FX24" s="55"/>
      <c r="FY24" s="55"/>
      <c r="FZ24" s="55"/>
      <c r="GA24" s="55"/>
      <c r="GB24" s="55"/>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F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E2CFB-7773-C03E-A7B2-3343129B65C2}">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3"/>
      <c r="B2" s="793"/>
      <c r="C2" s="793"/>
      <c r="D2" s="793"/>
      <c r="E2" s="1287">
        <v>1</v>
      </c>
      <c r="F2" s="793"/>
      <c r="G2" s="793"/>
      <c r="H2" s="793"/>
      <c r="I2" s="793"/>
      <c r="J2" s="793"/>
      <c r="K2" s="793"/>
      <c r="L2" s="794"/>
      <c r="M2" s="433"/>
      <c r="N2" s="433"/>
      <c r="O2" s="433"/>
      <c r="Q2" s="2"/>
      <c r="R2" s="213"/>
      <c r="S2" s="725" t="e">
        <f>INDEX(PT_DIFFERENTIATION_NUM_NTAR,MATCH(A2,PT_DIFFERENTIATION_NTAR_ID,0))</f>
        <v>#N/A</v>
      </c>
      <c r="T2" s="64" t="s">
        <v>139</v>
      </c>
      <c r="U2" s="170"/>
      <c r="V2" s="1281"/>
      <c r="W2" s="1282"/>
      <c r="X2" s="1282"/>
      <c r="Y2" s="1282"/>
      <c r="Z2" s="1282"/>
      <c r="AA2" s="1282"/>
      <c r="AB2" s="1283"/>
      <c r="AC2" s="1281" t="e">
        <f>INDEX(PT_DIFFERENTIATION_NTAR,MATCH(A2,PT_DIFFERENTIATION_NTAR_ID,0))</f>
        <v>#N/A</v>
      </c>
      <c r="AD2" s="1282"/>
      <c r="AE2" s="1282"/>
      <c r="AF2" s="1282"/>
      <c r="AG2" s="1282"/>
      <c r="AH2" s="1282"/>
      <c r="AI2" s="1282"/>
      <c r="AJ2" s="1283"/>
      <c r="AK2" s="7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3"/>
      <c r="B3" s="793"/>
      <c r="C3" s="793"/>
      <c r="D3" s="793"/>
      <c r="E3" s="1288"/>
      <c r="F3" s="1287">
        <v>1</v>
      </c>
      <c r="G3" s="793"/>
      <c r="H3" s="793"/>
      <c r="I3" s="793"/>
      <c r="J3" s="793"/>
      <c r="K3" s="793"/>
      <c r="L3" s="794"/>
      <c r="M3" s="433"/>
      <c r="N3" s="433"/>
      <c r="O3" s="433"/>
      <c r="P3" s="56"/>
      <c r="Q3" s="210"/>
      <c r="R3" s="211"/>
      <c r="S3" s="725" t="e">
        <f>INDEX(PT_DIFFERENTIATION_NUM_TER,MATCH(B3,PT_DIFFERENTIATION_TER_ID,0))</f>
        <v>#N/A</v>
      </c>
      <c r="T3" s="178" t="s">
        <v>471</v>
      </c>
      <c r="U3" s="170"/>
      <c r="V3" s="1281"/>
      <c r="W3" s="1282"/>
      <c r="X3" s="1282"/>
      <c r="Y3" s="1282"/>
      <c r="Z3" s="1282"/>
      <c r="AA3" s="1282"/>
      <c r="AB3" s="1283"/>
      <c r="AC3" s="1281" t="e">
        <f>INDEX(PT_DIFFERENTIATION_TER,MATCH(B3,PT_DIFFERENTIATION_TER_ID,0))</f>
        <v>#N/A</v>
      </c>
      <c r="AD3" s="1282"/>
      <c r="AE3" s="1282"/>
      <c r="AF3" s="1282"/>
      <c r="AG3" s="1282"/>
      <c r="AH3" s="1282"/>
      <c r="AI3" s="1282"/>
      <c r="AJ3" s="1283"/>
      <c r="AK3" s="753" t="s">
        <v>472</v>
      </c>
      <c r="AM3" s="66"/>
      <c r="AN3" s="66" t="str">
        <f t="shared" si="0"/>
        <v>Территория действия тарифа</v>
      </c>
      <c r="AO3" s="66"/>
      <c r="AP3" s="66"/>
    </row>
    <row r="4" spans="1:42" ht="23.25" hidden="1" customHeight="1">
      <c r="A4" s="793"/>
      <c r="B4" s="793"/>
      <c r="C4" s="793"/>
      <c r="D4" s="793"/>
      <c r="E4" s="1288"/>
      <c r="F4" s="1288"/>
      <c r="G4" s="1287">
        <v>1</v>
      </c>
      <c r="H4" s="793"/>
      <c r="I4" s="793"/>
      <c r="J4" s="793"/>
      <c r="K4" s="793"/>
      <c r="L4" s="794"/>
      <c r="M4" s="433"/>
      <c r="N4" s="433"/>
      <c r="O4" s="433"/>
      <c r="P4" s="212"/>
      <c r="Q4" s="210"/>
      <c r="R4" s="211"/>
      <c r="S4" s="725" t="e">
        <f>INDEX(PT_DIFFERENTIATION_NUM_CS,MATCH(C4,PT_DIFFERENTIATION_CS_ID,0))</f>
        <v>#N/A</v>
      </c>
      <c r="T4" s="179" t="s">
        <v>2065</v>
      </c>
      <c r="U4" s="170"/>
      <c r="V4" s="1281"/>
      <c r="W4" s="1282"/>
      <c r="X4" s="1282"/>
      <c r="Y4" s="1282"/>
      <c r="Z4" s="1282"/>
      <c r="AA4" s="1282"/>
      <c r="AB4" s="1283"/>
      <c r="AC4" s="1281" t="e">
        <f>INDEX(PT_DIFFERENTIATION_CS,MATCH(C4,PT_DIFFERENTIATION_CS_ID,0))</f>
        <v>#N/A</v>
      </c>
      <c r="AD4" s="1282"/>
      <c r="AE4" s="1282"/>
      <c r="AF4" s="1282"/>
      <c r="AG4" s="1282"/>
      <c r="AH4" s="1282"/>
      <c r="AI4" s="1282"/>
      <c r="AJ4" s="1283"/>
      <c r="AK4" s="753" t="s">
        <v>2066</v>
      </c>
      <c r="AM4" s="66"/>
      <c r="AN4" s="66" t="str">
        <f t="shared" si="0"/>
        <v>Наименование централизованной системы горячего водоснабжения</v>
      </c>
      <c r="AO4" s="66"/>
      <c r="AP4" s="66"/>
    </row>
    <row r="5" spans="1:42" ht="23.25" hidden="1" customHeight="1">
      <c r="A5" s="793"/>
      <c r="B5" s="793"/>
      <c r="C5" s="793"/>
      <c r="D5" s="793"/>
      <c r="E5" s="1288"/>
      <c r="F5" s="1288"/>
      <c r="G5" s="1288"/>
      <c r="H5" s="1288"/>
      <c r="I5" s="1289" t="e">
        <f>S4&amp;".1"</f>
        <v>#N/A</v>
      </c>
      <c r="J5" s="793"/>
      <c r="K5" s="793"/>
      <c r="L5" s="794"/>
      <c r="P5" s="1211">
        <v>1</v>
      </c>
      <c r="Q5" s="119"/>
      <c r="R5" s="214"/>
      <c r="S5" s="725" t="e">
        <f>$I5</f>
        <v>#N/A</v>
      </c>
      <c r="T5" s="163" t="s">
        <v>1687</v>
      </c>
      <c r="U5" s="170"/>
      <c r="V5" s="1387"/>
      <c r="W5" s="1388"/>
      <c r="X5" s="1388"/>
      <c r="Y5" s="1388"/>
      <c r="Z5" s="1388"/>
      <c r="AA5" s="1388"/>
      <c r="AB5" s="1389"/>
      <c r="AC5" s="1390"/>
      <c r="AD5" s="1391"/>
      <c r="AE5" s="1391"/>
      <c r="AF5" s="1391"/>
      <c r="AG5" s="1391"/>
      <c r="AH5" s="1391"/>
      <c r="AI5" s="1391"/>
      <c r="AJ5" s="1392"/>
      <c r="AK5" s="753" t="s">
        <v>1688</v>
      </c>
      <c r="AM5" s="66"/>
      <c r="AN5" s="66" t="str">
        <f t="shared" si="0"/>
        <v>Наименование признака дифференциации</v>
      </c>
      <c r="AO5" s="66"/>
      <c r="AP5" s="66"/>
    </row>
    <row r="6" spans="1:42" ht="23.25" hidden="1" customHeight="1">
      <c r="A6" s="793"/>
      <c r="B6" s="793"/>
      <c r="C6" s="793"/>
      <c r="D6" s="793"/>
      <c r="E6" s="1288"/>
      <c r="F6" s="1288"/>
      <c r="G6" s="1288"/>
      <c r="H6" s="1288"/>
      <c r="I6" s="1290"/>
      <c r="J6" s="1289" t="e">
        <f>I5&amp;".1"</f>
        <v>#N/A</v>
      </c>
      <c r="K6" s="793"/>
      <c r="L6" s="794" t="s">
        <v>480</v>
      </c>
      <c r="P6" s="1211"/>
      <c r="Q6" s="1211">
        <v>1</v>
      </c>
      <c r="R6" s="215"/>
      <c r="S6" s="725" t="e">
        <f>$J6</f>
        <v>#N/A</v>
      </c>
      <c r="T6" s="164" t="s">
        <v>481</v>
      </c>
      <c r="U6" s="170"/>
      <c r="V6" s="1275"/>
      <c r="W6" s="1276"/>
      <c r="X6" s="1276"/>
      <c r="Y6" s="1276"/>
      <c r="Z6" s="1276"/>
      <c r="AA6" s="1276"/>
      <c r="AB6" s="1277"/>
      <c r="AC6" s="1275"/>
      <c r="AD6" s="1276"/>
      <c r="AE6" s="1276"/>
      <c r="AF6" s="1276"/>
      <c r="AG6" s="1276"/>
      <c r="AH6" s="1276"/>
      <c r="AI6" s="1276"/>
      <c r="AJ6" s="1277"/>
      <c r="AK6" s="778" t="s">
        <v>1689</v>
      </c>
      <c r="AM6" s="66"/>
      <c r="AN6" s="66" t="str">
        <f t="shared" si="0"/>
        <v>Группа потребителей</v>
      </c>
      <c r="AO6" s="66"/>
      <c r="AP6" s="66"/>
    </row>
    <row r="7" spans="1:42" ht="23.25" hidden="1" customHeight="1">
      <c r="A7" s="793"/>
      <c r="B7" s="793"/>
      <c r="C7" s="793"/>
      <c r="D7" s="793"/>
      <c r="E7" s="1288"/>
      <c r="F7" s="1288"/>
      <c r="G7" s="1288"/>
      <c r="H7" s="1288"/>
      <c r="I7" s="1290"/>
      <c r="J7" s="1290"/>
      <c r="K7" s="1289" t="e">
        <f>J6&amp;".1"</f>
        <v>#N/A</v>
      </c>
      <c r="L7" s="794"/>
      <c r="P7" s="1211"/>
      <c r="Q7" s="1211"/>
      <c r="R7" s="215">
        <v>1</v>
      </c>
      <c r="S7" s="725" t="e">
        <f>$K7</f>
        <v>#N/A</v>
      </c>
      <c r="T7" s="836"/>
      <c r="U7" s="170"/>
      <c r="V7" s="317"/>
      <c r="W7" s="317"/>
      <c r="X7" s="752"/>
      <c r="Y7" s="1291"/>
      <c r="Z7" s="1092" t="s">
        <v>59</v>
      </c>
      <c r="AA7" s="1291"/>
      <c r="AB7" s="1092" t="s">
        <v>59</v>
      </c>
      <c r="AC7" s="317"/>
      <c r="AD7" s="317"/>
      <c r="AE7" s="752"/>
      <c r="AF7" s="1291"/>
      <c r="AG7" s="1092" t="s">
        <v>59</v>
      </c>
      <c r="AH7" s="1293"/>
      <c r="AI7" s="1092" t="s">
        <v>59</v>
      </c>
      <c r="AJ7" s="837"/>
      <c r="AK7"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3"/>
      <c r="B8" s="793"/>
      <c r="C8" s="793"/>
      <c r="D8" s="793"/>
      <c r="E8" s="1288"/>
      <c r="F8" s="1288"/>
      <c r="G8" s="1288"/>
      <c r="H8" s="1288"/>
      <c r="I8" s="1290"/>
      <c r="J8" s="1290"/>
      <c r="K8" s="1289"/>
      <c r="L8" s="794"/>
      <c r="P8" s="1211"/>
      <c r="Q8" s="1211"/>
      <c r="R8" s="215"/>
      <c r="S8" s="62"/>
      <c r="T8" s="170"/>
      <c r="U8" s="170"/>
      <c r="V8" s="196"/>
      <c r="W8" s="196"/>
      <c r="X8" s="198" t="str">
        <f>Y7&amp;"-"&amp;AA7</f>
        <v>-</v>
      </c>
      <c r="Y8" s="1292"/>
      <c r="Z8" s="1092"/>
      <c r="AA8" s="1292"/>
      <c r="AB8" s="1092"/>
      <c r="AC8" s="196"/>
      <c r="AD8" s="196"/>
      <c r="AE8" s="198" t="str">
        <f>AF7&amp;"-"&amp;AH7</f>
        <v>-</v>
      </c>
      <c r="AF8" s="1292"/>
      <c r="AG8" s="1092"/>
      <c r="AH8" s="1294"/>
      <c r="AI8" s="1092"/>
      <c r="AJ8" s="396"/>
      <c r="AK8" s="1393"/>
      <c r="AM8" s="66"/>
      <c r="AN8" s="66" t="str">
        <f t="shared" si="0"/>
        <v/>
      </c>
      <c r="AO8" s="66"/>
      <c r="AP8" s="66"/>
    </row>
    <row r="9" spans="1:42" ht="21" hidden="1" customHeight="1">
      <c r="A9" s="793"/>
      <c r="B9" s="793"/>
      <c r="C9" s="793"/>
      <c r="D9" s="793"/>
      <c r="E9" s="1288"/>
      <c r="F9" s="1288"/>
      <c r="G9" s="1288"/>
      <c r="H9" s="1288"/>
      <c r="I9" s="1290"/>
      <c r="J9" s="1289"/>
      <c r="K9" s="793"/>
      <c r="L9" s="794"/>
      <c r="P9" s="1211"/>
      <c r="Q9" s="1211"/>
      <c r="R9" s="214"/>
      <c r="S9" s="767"/>
      <c r="T9" s="165" t="s">
        <v>1690</v>
      </c>
      <c r="U9" s="221"/>
      <c r="V9" s="221"/>
      <c r="W9" s="221"/>
      <c r="X9" s="221"/>
      <c r="Y9" s="221"/>
      <c r="Z9" s="221"/>
      <c r="AA9" s="221"/>
      <c r="AB9" s="221"/>
      <c r="AC9" s="221"/>
      <c r="AD9" s="221"/>
      <c r="AE9" s="221"/>
      <c r="AF9" s="221"/>
      <c r="AG9" s="221"/>
      <c r="AH9" s="221"/>
      <c r="AI9" s="221"/>
      <c r="AJ9" s="221"/>
      <c r="AK9" s="753" t="s">
        <v>1691</v>
      </c>
      <c r="AM9" s="66"/>
      <c r="AN9" s="66" t="str">
        <f t="shared" si="0"/>
        <v>Добавить значение признака дифференциации</v>
      </c>
      <c r="AO9" s="66"/>
      <c r="AP9" s="66"/>
    </row>
    <row r="10" spans="1:42" ht="21" hidden="1" customHeight="1">
      <c r="A10" s="793"/>
      <c r="B10" s="793"/>
      <c r="C10" s="793"/>
      <c r="D10" s="793"/>
      <c r="E10" s="1288"/>
      <c r="F10" s="1288"/>
      <c r="G10" s="1288"/>
      <c r="H10" s="1288"/>
      <c r="I10" s="1289"/>
      <c r="J10" s="793"/>
      <c r="K10" s="793"/>
      <c r="L10" s="794"/>
      <c r="P10" s="1211"/>
      <c r="Q10" s="119"/>
      <c r="R10" s="214"/>
      <c r="S10" s="767"/>
      <c r="T10" s="219" t="s">
        <v>486</v>
      </c>
      <c r="U10" s="221"/>
      <c r="V10" s="221"/>
      <c r="W10" s="221"/>
      <c r="X10" s="221"/>
      <c r="Y10" s="221"/>
      <c r="Z10" s="221"/>
      <c r="AA10" s="221"/>
      <c r="AB10" s="197"/>
      <c r="AC10" s="221"/>
      <c r="AD10" s="221"/>
      <c r="AE10" s="221"/>
      <c r="AF10" s="221"/>
      <c r="AG10" s="221"/>
      <c r="AH10" s="221"/>
      <c r="AI10" s="197"/>
      <c r="AJ10" s="221"/>
      <c r="AK10" s="838"/>
      <c r="AM10" s="66"/>
      <c r="AN10" s="66" t="str">
        <f t="shared" si="0"/>
        <v>Добавить группу потребителей</v>
      </c>
      <c r="AO10" s="66"/>
      <c r="AP10" s="66"/>
    </row>
    <row r="11" spans="1:42" ht="21" hidden="1" customHeight="1">
      <c r="A11" s="793"/>
      <c r="B11" s="793"/>
      <c r="C11" s="793"/>
      <c r="D11" s="793"/>
      <c r="E11" s="1288"/>
      <c r="F11" s="1288"/>
      <c r="G11" s="1288"/>
      <c r="H11" s="1287"/>
      <c r="I11" s="793"/>
      <c r="J11" s="793"/>
      <c r="K11" s="793"/>
      <c r="L11" s="794"/>
      <c r="M11" s="433"/>
      <c r="N11" s="433"/>
      <c r="O11" s="60"/>
      <c r="P11" s="2"/>
      <c r="Q11" s="224"/>
      <c r="R11" s="213"/>
      <c r="S11" s="767"/>
      <c r="T11" s="104" t="s">
        <v>1692</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88"/>
      <c r="F12" s="1287"/>
      <c r="G12" s="142"/>
      <c r="H12" s="142"/>
      <c r="I12" s="142"/>
      <c r="J12" s="142"/>
      <c r="K12" s="142"/>
      <c r="L12" s="355"/>
      <c r="M12" s="784"/>
      <c r="N12" s="784"/>
      <c r="P12" s="101"/>
      <c r="Q12" s="780"/>
      <c r="R12" s="101"/>
      <c r="S12" s="785"/>
      <c r="T12" s="787" t="s">
        <v>445</v>
      </c>
      <c r="U12" s="323"/>
      <c r="V12" s="323"/>
      <c r="W12" s="323"/>
      <c r="X12" s="323"/>
      <c r="Y12" s="323"/>
      <c r="Z12" s="323"/>
      <c r="AA12" s="323"/>
      <c r="AB12" s="323"/>
      <c r="AC12" s="323"/>
      <c r="AD12" s="323"/>
      <c r="AE12" s="323"/>
      <c r="AF12" s="323"/>
      <c r="AG12" s="323"/>
      <c r="AH12" s="323"/>
      <c r="AI12" s="323"/>
      <c r="AJ12" s="323"/>
      <c r="AK12" s="323"/>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87"/>
      <c r="F13" s="142"/>
      <c r="G13" s="142"/>
      <c r="H13" s="142"/>
      <c r="I13" s="142"/>
      <c r="J13" s="142"/>
      <c r="K13" s="142"/>
      <c r="L13" s="355"/>
      <c r="M13" s="784"/>
      <c r="N13" s="784"/>
      <c r="P13" s="101"/>
      <c r="Q13" s="780"/>
      <c r="R13" s="101"/>
      <c r="S13" s="785"/>
      <c r="T13" s="787" t="s">
        <v>446</v>
      </c>
      <c r="U13" s="323"/>
      <c r="V13" s="323"/>
      <c r="W13" s="323"/>
      <c r="X13" s="323"/>
      <c r="Y13" s="323"/>
      <c r="Z13" s="323"/>
      <c r="AA13" s="323"/>
      <c r="AB13" s="323"/>
      <c r="AC13" s="323"/>
      <c r="AD13" s="323"/>
      <c r="AE13" s="323"/>
      <c r="AF13" s="323"/>
      <c r="AG13" s="323"/>
      <c r="AH13" s="323"/>
      <c r="AI13" s="323"/>
      <c r="AJ13" s="323"/>
      <c r="AK13" s="323"/>
      <c r="AM13" s="66"/>
      <c r="AN13" s="66" t="str">
        <f t="shared" si="0"/>
        <v>Добавить территорию для дифференциации</v>
      </c>
      <c r="AO13" s="66"/>
      <c r="AP13" s="66"/>
    </row>
    <row r="14" spans="1:42" ht="14.25" hidden="1" customHeight="1"/>
    <row r="15" spans="1:42" ht="14.25" hidden="1" customHeight="1">
      <c r="AC15" s="376"/>
      <c r="AD15" s="376"/>
      <c r="AE15" s="792"/>
      <c r="AF15" s="1285"/>
      <c r="AG15" s="1284" t="s">
        <v>59</v>
      </c>
      <c r="AH15" s="1285"/>
      <c r="AI15" s="1284" t="s">
        <v>59</v>
      </c>
    </row>
    <row r="16" spans="1:42" ht="14.25" hidden="1" customHeight="1">
      <c r="AC16" s="376"/>
      <c r="AD16" s="376"/>
      <c r="AE16" s="198" t="str">
        <f>AF15&amp;"-"&amp;AH15</f>
        <v>-</v>
      </c>
      <c r="AF16" s="1284"/>
      <c r="AG16" s="1284"/>
      <c r="AH16" s="1284"/>
      <c r="AI16" s="1284"/>
    </row>
    <row r="17" spans="1:42" ht="14.25" hidden="1" customHeight="1"/>
    <row r="18" spans="1:42" s="60" customFormat="1" ht="22.5" hidden="1" customHeight="1">
      <c r="L18" s="312"/>
      <c r="M18" s="519"/>
      <c r="N18" s="519"/>
      <c r="O18" s="795" t="s">
        <v>488</v>
      </c>
      <c r="P18" s="519"/>
      <c r="Q18" s="796"/>
      <c r="R18" s="796"/>
      <c r="S18" s="433"/>
      <c r="Y18" s="795"/>
      <c r="AA18" s="795"/>
      <c r="AF18" s="795"/>
      <c r="AH18" s="795"/>
      <c r="AL18" s="65"/>
      <c r="AM18" s="65"/>
      <c r="AN18" s="65"/>
      <c r="AO18" s="65"/>
      <c r="AP18" s="65"/>
    </row>
    <row r="19" spans="1:42" s="60" customFormat="1" ht="14.25" hidden="1" customHeight="1">
      <c r="L19" s="312"/>
      <c r="M19" s="519"/>
      <c r="N19" s="519"/>
      <c r="O19" s="519"/>
      <c r="P19" s="519"/>
      <c r="Q19" s="796"/>
      <c r="R19" s="796"/>
      <c r="S19" s="433"/>
      <c r="AL19" s="65"/>
      <c r="AM19" s="65"/>
      <c r="AN19" s="65"/>
      <c r="AO19" s="65"/>
      <c r="AP19" s="65"/>
    </row>
    <row r="20" spans="1:42" s="60" customFormat="1" ht="12" hidden="1" customHeight="1">
      <c r="L20" s="312"/>
      <c r="M20" s="519"/>
      <c r="N20" s="519"/>
      <c r="O20" s="794" t="s">
        <v>489</v>
      </c>
      <c r="P20" s="519"/>
      <c r="Q20" s="839"/>
      <c r="R20" s="839"/>
      <c r="S20" s="433"/>
      <c r="T20" s="60" t="s">
        <v>490</v>
      </c>
      <c r="Z20" s="79" t="s">
        <v>491</v>
      </c>
      <c r="AB20" s="79" t="s">
        <v>492</v>
      </c>
      <c r="AC20" s="60" t="s">
        <v>490</v>
      </c>
      <c r="AG20" s="79" t="s">
        <v>493</v>
      </c>
      <c r="AI20" s="79" t="s">
        <v>492</v>
      </c>
    </row>
    <row r="21" spans="1:42" ht="14.25" hidden="1" customHeight="1">
      <c r="O21" s="794"/>
    </row>
    <row r="22" spans="1:42" ht="14.25" hidden="1" customHeight="1">
      <c r="O22" s="794"/>
    </row>
    <row r="23" spans="1:42" ht="14.25" customHeight="1">
      <c r="Q23" s="27"/>
      <c r="R23" s="27"/>
      <c r="S23" s="764"/>
      <c r="T23" s="8"/>
      <c r="U23" s="8"/>
    </row>
    <row r="24" spans="1:42" ht="32.25" customHeight="1">
      <c r="Q24" s="27"/>
      <c r="R24" s="27"/>
      <c r="S24" s="1312"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1312"/>
      <c r="U24" s="1312"/>
      <c r="V24" s="1312"/>
      <c r="W24" s="1312"/>
      <c r="X24" s="1312"/>
      <c r="Y24" s="1312"/>
      <c r="Z24" s="1312"/>
      <c r="AA24" s="1312"/>
      <c r="AB24" s="1312"/>
      <c r="AC24" s="1312"/>
      <c r="AD24" s="1312"/>
      <c r="AE24" s="1312"/>
      <c r="AF24" s="1312"/>
      <c r="AG24" s="1312"/>
      <c r="AH24" s="1312"/>
      <c r="AI24" s="57"/>
    </row>
    <row r="25" spans="1:42" ht="14.25" customHeight="1">
      <c r="Q25" s="27"/>
      <c r="R25" s="27"/>
      <c r="S25" s="1178" t="str">
        <f>IF(org=0,"Не определено",org)</f>
        <v>ООО "Концессионная Коммунальная Компания"</v>
      </c>
      <c r="T25" s="1178"/>
      <c r="U25" s="1178"/>
      <c r="V25" s="1178"/>
      <c r="W25" s="1178"/>
      <c r="X25" s="1178"/>
      <c r="Y25" s="1178"/>
      <c r="Z25" s="1178"/>
      <c r="AA25" s="1178"/>
      <c r="AB25" s="1178"/>
      <c r="AC25" s="1178"/>
      <c r="AD25" s="1178"/>
      <c r="AE25" s="1178"/>
      <c r="AF25" s="1178"/>
      <c r="AG25" s="1178"/>
      <c r="AH25" s="1178"/>
      <c r="AI25" s="57"/>
    </row>
    <row r="26" spans="1:42" ht="14.25" hidden="1" customHeight="1">
      <c r="Q26" s="27"/>
      <c r="R26" s="27"/>
      <c r="S26" s="764"/>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4"/>
      <c r="M27" s="79"/>
      <c r="N27" s="79"/>
      <c r="O27" s="79"/>
      <c r="S27" s="1278" t="s">
        <v>40</v>
      </c>
      <c r="T27" s="1278"/>
      <c r="U27" s="797"/>
      <c r="V27" s="1280" t="str">
        <f>IF(TITLE_NAME_OR_PR_CHANGE="",IF(TITLE_NAME_OR_PR="","",TITLE_NAME_OR_PR),TITLE_NAME_OR_PR_CHANGE)</f>
        <v/>
      </c>
      <c r="W27" s="1280"/>
      <c r="X27" s="1280"/>
      <c r="Y27" s="1280"/>
      <c r="Z27" s="1280"/>
      <c r="AA27" s="1280"/>
      <c r="AB27" s="9"/>
      <c r="AC27" s="1280" t="str">
        <f>IF(TITLE_NAME_OR_PR_CHANGE="",IF(TITLE_NAME_OR_PR="","",TITLE_NAME_OR_PR),TITLE_NAME_OR_PR_CHANGE)</f>
        <v/>
      </c>
      <c r="AD27" s="1280"/>
      <c r="AE27" s="1280"/>
      <c r="AF27" s="1280"/>
      <c r="AG27" s="1280"/>
      <c r="AH27" s="1280"/>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4"/>
      <c r="M28" s="79"/>
      <c r="N28" s="79"/>
      <c r="O28" s="79"/>
      <c r="S28" s="1278" t="s">
        <v>494</v>
      </c>
      <c r="T28" s="1278"/>
      <c r="U28" s="797"/>
      <c r="V28" s="1279" t="str">
        <f>IF(TITLE_DATE_CHANGE_PERIOD="",IF(TITLE_DATE_PR="","",TITLE_DATE_PR),TITLE_DATE_CHANGE_PERIOD)</f>
        <v/>
      </c>
      <c r="W28" s="1279"/>
      <c r="X28" s="1279"/>
      <c r="Y28" s="1279"/>
      <c r="Z28" s="1279"/>
      <c r="AA28" s="1279"/>
      <c r="AB28" s="9"/>
      <c r="AC28" s="1279" t="str">
        <f>IF(TITLE_DATE_CHANGE_PERIOD="",IF(TITLE_DATE_PR="","",TITLE_DATE_PR),TITLE_DATE_CHANGE_PERIOD)</f>
        <v/>
      </c>
      <c r="AD28" s="1279"/>
      <c r="AE28" s="1279"/>
      <c r="AF28" s="1279"/>
      <c r="AG28" s="1279"/>
      <c r="AH28" s="1279"/>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4"/>
      <c r="M29" s="79"/>
      <c r="N29" s="79"/>
      <c r="O29" s="79"/>
      <c r="S29" s="1278" t="s">
        <v>495</v>
      </c>
      <c r="T29" s="1278"/>
      <c r="U29" s="797"/>
      <c r="V29" s="1280" t="str">
        <f>IF(TITLE_NUMBER_PR_CHANGE="",IF(TITLE_NUMBER_PR="","",TITLE_NUMBER_PR),TITLE_NUMBER_PR_CHANGE)</f>
        <v/>
      </c>
      <c r="W29" s="1280"/>
      <c r="X29" s="1280"/>
      <c r="Y29" s="1280"/>
      <c r="Z29" s="1280"/>
      <c r="AA29" s="1280"/>
      <c r="AB29" s="9"/>
      <c r="AC29" s="1280" t="str">
        <f>IF(TITLE_NUMBER_PR_CHANGE="",IF(TITLE_NUMBER_PR="","",TITLE_NUMBER_PR),TITLE_NUMBER_PR_CHANGE)</f>
        <v/>
      </c>
      <c r="AD29" s="1280"/>
      <c r="AE29" s="1280"/>
      <c r="AF29" s="1280"/>
      <c r="AG29" s="1280"/>
      <c r="AH29" s="1280"/>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4"/>
      <c r="M30" s="79"/>
      <c r="N30" s="79"/>
      <c r="O30" s="79"/>
      <c r="S30" s="1278" t="s">
        <v>41</v>
      </c>
      <c r="T30" s="1278"/>
      <c r="U30" s="797"/>
      <c r="V30" s="1280" t="str">
        <f>IF(TITLE_IST_PUB_CHANGE="",IF(TITLE_IST_PUB="","",TITLE_IST_PUB),TITLE_IST_PUB_CHANGE)</f>
        <v/>
      </c>
      <c r="W30" s="1280"/>
      <c r="X30" s="1280"/>
      <c r="Y30" s="1280"/>
      <c r="Z30" s="1280"/>
      <c r="AA30" s="1280"/>
      <c r="AB30" s="9"/>
      <c r="AC30" s="1280" t="str">
        <f>IF(TITLE_IST_PUB_CHANGE="",IF(TITLE_IST_PUB="","",TITLE_IST_PUB),TITLE_IST_PUB_CHANGE)</f>
        <v/>
      </c>
      <c r="AD30" s="1280"/>
      <c r="AE30" s="1280"/>
      <c r="AF30" s="1280"/>
      <c r="AG30" s="1280"/>
      <c r="AH30" s="1280"/>
      <c r="AI30" s="9"/>
      <c r="AJ30" s="9"/>
      <c r="AK30" s="162"/>
      <c r="AL30" s="66"/>
      <c r="AM30" s="66"/>
      <c r="AN30" s="66"/>
      <c r="AO30" s="66"/>
      <c r="AP30" s="66"/>
    </row>
    <row r="31" spans="1:42" ht="14.25" hidden="1" customHeight="1">
      <c r="Q31" s="27"/>
      <c r="R31" s="27"/>
      <c r="S31" s="764"/>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4"/>
      <c r="M32" s="79"/>
      <c r="N32" s="79"/>
      <c r="O32" s="79"/>
      <c r="S32" s="1278" t="s">
        <v>496</v>
      </c>
      <c r="T32" s="1278"/>
      <c r="U32" s="797"/>
      <c r="V32" s="1279" t="str">
        <f>IF(TITLE_DATE_CHANGE_PERIOD="",IF(TITLE_DATE_PR="","",TITLE_DATE_PR),TITLE_DATE_CHANGE_PERIOD)</f>
        <v/>
      </c>
      <c r="W32" s="1279"/>
      <c r="X32" s="1279"/>
      <c r="Y32" s="1279"/>
      <c r="Z32" s="1279"/>
      <c r="AA32" s="1279"/>
      <c r="AB32" s="9"/>
      <c r="AC32" s="1279" t="str">
        <f>IF(TITLE_DATE_CHANGE_PERIOD="",IF(TITLE_DATE_PR="","",TITLE_DATE_PR),TITLE_DATE_CHANGE_PERIOD)</f>
        <v/>
      </c>
      <c r="AD32" s="1279"/>
      <c r="AE32" s="1279"/>
      <c r="AF32" s="1279"/>
      <c r="AG32" s="1279"/>
      <c r="AH32" s="1279"/>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4"/>
      <c r="M33" s="79"/>
      <c r="N33" s="79"/>
      <c r="O33" s="79"/>
      <c r="S33" s="1278" t="s">
        <v>497</v>
      </c>
      <c r="T33" s="1278"/>
      <c r="U33" s="797"/>
      <c r="V33" s="1280" t="str">
        <f>IF(TITLE_NUMBER_PR_CHANGE="",IF(TITLE_NUMBER_PR="","",TITLE_NUMBER_PR),TITLE_NUMBER_PR_CHANGE)</f>
        <v/>
      </c>
      <c r="W33" s="1280"/>
      <c r="X33" s="1280"/>
      <c r="Y33" s="1280"/>
      <c r="Z33" s="1280"/>
      <c r="AA33" s="1280"/>
      <c r="AB33" s="9"/>
      <c r="AC33" s="1280" t="str">
        <f>IF(TITLE_NUMBER_PR_CHANGE="",IF(TITLE_NUMBER_PR="","",TITLE_NUMBER_PR),TITLE_NUMBER_PR_CHANGE)</f>
        <v/>
      </c>
      <c r="AD33" s="1280"/>
      <c r="AE33" s="1280"/>
      <c r="AF33" s="1280"/>
      <c r="AG33" s="1280"/>
      <c r="AH33" s="1280"/>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4"/>
      <c r="M34" s="79"/>
      <c r="N34" s="79"/>
      <c r="O34" s="79"/>
      <c r="S34" s="9"/>
      <c r="T34" s="9"/>
      <c r="U34" s="75"/>
      <c r="V34" s="9"/>
      <c r="W34" s="9"/>
      <c r="X34" s="9"/>
      <c r="Y34" s="9"/>
      <c r="Z34" s="9"/>
      <c r="AA34" s="9"/>
      <c r="AB34" s="65" t="s">
        <v>498</v>
      </c>
      <c r="AC34" s="9"/>
      <c r="AD34" s="9"/>
      <c r="AE34" s="9"/>
      <c r="AF34" s="9"/>
      <c r="AG34" s="9"/>
      <c r="AH34" s="9"/>
      <c r="AI34" s="65" t="s">
        <v>498</v>
      </c>
      <c r="AL34" s="66"/>
      <c r="AM34" s="66"/>
      <c r="AN34" s="66"/>
      <c r="AO34" s="66"/>
      <c r="AP34" s="66"/>
    </row>
    <row r="35" spans="1:42" ht="14.25" customHeight="1">
      <c r="Q35" s="27"/>
      <c r="R35" s="27"/>
      <c r="S35" s="764"/>
      <c r="T35" s="8"/>
      <c r="U35" s="736"/>
      <c r="V35" s="1298"/>
      <c r="W35" s="1298"/>
      <c r="X35" s="1298"/>
      <c r="Y35" s="1298"/>
      <c r="Z35" s="1298"/>
      <c r="AA35" s="1298"/>
      <c r="AB35" s="1298"/>
      <c r="AC35" s="1298"/>
      <c r="AD35" s="1298"/>
      <c r="AE35" s="1298"/>
      <c r="AF35" s="1298"/>
      <c r="AG35" s="1298"/>
      <c r="AH35" s="1298"/>
      <c r="AI35" s="1298"/>
    </row>
    <row r="36" spans="1:42" ht="14.25" customHeight="1">
      <c r="Q36" s="27"/>
      <c r="R36" s="27"/>
      <c r="S36" s="1082" t="s">
        <v>302</v>
      </c>
      <c r="T36" s="1082"/>
      <c r="U36" s="1082"/>
      <c r="V36" s="1082"/>
      <c r="W36" s="1082"/>
      <c r="X36" s="1082"/>
      <c r="Y36" s="1082"/>
      <c r="Z36" s="1082"/>
      <c r="AA36" s="1082"/>
      <c r="AB36" s="1082"/>
      <c r="AC36" s="1082"/>
      <c r="AD36" s="1082"/>
      <c r="AE36" s="1082"/>
      <c r="AF36" s="1082"/>
      <c r="AG36" s="1082"/>
      <c r="AH36" s="1082"/>
      <c r="AI36" s="1082"/>
      <c r="AJ36" s="1082"/>
      <c r="AK36" s="1082" t="s">
        <v>303</v>
      </c>
    </row>
    <row r="37" spans="1:42" ht="14.25" customHeight="1">
      <c r="Q37" s="27"/>
      <c r="R37" s="27"/>
      <c r="S37" s="1299" t="s">
        <v>88</v>
      </c>
      <c r="T37" s="1176" t="s">
        <v>499</v>
      </c>
      <c r="U37" s="171"/>
      <c r="V37" s="1300" t="s">
        <v>500</v>
      </c>
      <c r="W37" s="1301"/>
      <c r="X37" s="1301"/>
      <c r="Y37" s="1301"/>
      <c r="Z37" s="1301"/>
      <c r="AA37" s="1302"/>
      <c r="AB37" s="1303" t="s">
        <v>501</v>
      </c>
      <c r="AC37" s="1300" t="s">
        <v>500</v>
      </c>
      <c r="AD37" s="1301"/>
      <c r="AE37" s="1301"/>
      <c r="AF37" s="1301"/>
      <c r="AG37" s="1301"/>
      <c r="AH37" s="1302"/>
      <c r="AI37" s="1303" t="s">
        <v>502</v>
      </c>
      <c r="AJ37" s="1306" t="s">
        <v>503</v>
      </c>
      <c r="AK37" s="1082"/>
    </row>
    <row r="38" spans="1:42" ht="33.75" customHeight="1">
      <c r="Q38" s="27"/>
      <c r="R38" s="27"/>
      <c r="S38" s="1299"/>
      <c r="T38" s="1176"/>
      <c r="U38" s="621"/>
      <c r="V38" s="349" t="s">
        <v>2067</v>
      </c>
      <c r="W38" s="1063" t="s">
        <v>2068</v>
      </c>
      <c r="X38" s="1062"/>
      <c r="Y38" s="1063" t="s">
        <v>507</v>
      </c>
      <c r="Z38" s="1068"/>
      <c r="AA38" s="1062"/>
      <c r="AB38" s="1304"/>
      <c r="AC38" s="349" t="s">
        <v>2067</v>
      </c>
      <c r="AD38" s="1063" t="s">
        <v>2068</v>
      </c>
      <c r="AE38" s="1062"/>
      <c r="AF38" s="1063" t="s">
        <v>507</v>
      </c>
      <c r="AG38" s="1068"/>
      <c r="AH38" s="1062"/>
      <c r="AI38" s="1304"/>
      <c r="AJ38" s="1307"/>
      <c r="AK38" s="1082"/>
    </row>
    <row r="39" spans="1:42" ht="86.25" customHeight="1">
      <c r="A39" s="79"/>
      <c r="B39" s="79" t="s">
        <v>151</v>
      </c>
      <c r="C39" s="79" t="s">
        <v>152</v>
      </c>
      <c r="D39" s="79" t="s">
        <v>153</v>
      </c>
      <c r="E39" s="794" t="s">
        <v>508</v>
      </c>
      <c r="F39" s="794" t="s">
        <v>509</v>
      </c>
      <c r="G39" s="794" t="s">
        <v>510</v>
      </c>
      <c r="H39" s="794"/>
      <c r="I39" s="794" t="s">
        <v>1694</v>
      </c>
      <c r="J39" s="794" t="s">
        <v>513</v>
      </c>
      <c r="K39" s="794" t="s">
        <v>1695</v>
      </c>
      <c r="L39" s="794" t="s">
        <v>489</v>
      </c>
      <c r="Q39" s="27"/>
      <c r="R39" s="27"/>
      <c r="S39" s="1299"/>
      <c r="T39" s="1176"/>
      <c r="U39" s="172"/>
      <c r="V39" s="349" t="s">
        <v>2069</v>
      </c>
      <c r="W39" s="37" t="s">
        <v>2070</v>
      </c>
      <c r="X39" s="37" t="s">
        <v>2071</v>
      </c>
      <c r="Y39" s="37" t="s">
        <v>517</v>
      </c>
      <c r="Z39" s="1182" t="s">
        <v>518</v>
      </c>
      <c r="AA39" s="1195"/>
      <c r="AB39" s="1305"/>
      <c r="AC39" s="349" t="s">
        <v>2069</v>
      </c>
      <c r="AD39" s="37" t="s">
        <v>2070</v>
      </c>
      <c r="AE39" s="37" t="s">
        <v>2071</v>
      </c>
      <c r="AF39" s="37" t="s">
        <v>517</v>
      </c>
      <c r="AG39" s="1182" t="s">
        <v>518</v>
      </c>
      <c r="AH39" s="1195"/>
      <c r="AI39" s="1305"/>
      <c r="AJ39" s="1308"/>
      <c r="AK39" s="1082"/>
    </row>
    <row r="40" spans="1:42" s="209" customFormat="1" ht="11.25" hidden="1" customHeight="1">
      <c r="A40" s="79"/>
      <c r="B40" s="79"/>
      <c r="C40" s="79"/>
      <c r="D40" s="79"/>
      <c r="E40" s="79"/>
      <c r="F40" s="79"/>
      <c r="G40" s="79"/>
      <c r="H40" s="79"/>
      <c r="I40" s="79"/>
      <c r="J40" s="79"/>
      <c r="K40" s="79"/>
      <c r="L40" s="794"/>
      <c r="M40" s="519"/>
      <c r="N40" s="519"/>
      <c r="O40" s="519"/>
      <c r="P40" s="738"/>
      <c r="Q40" s="739"/>
      <c r="R40" s="747">
        <v>1</v>
      </c>
      <c r="S40" s="766" t="s">
        <v>119</v>
      </c>
      <c r="T40" s="748" t="s">
        <v>103</v>
      </c>
      <c r="U40" s="737" t="str">
        <f ca="1">OFFSET(U40,0,-1)</f>
        <v>2</v>
      </c>
      <c r="V40" s="749">
        <f ca="1">OFFSET(V40,0,-1)+1</f>
        <v>3</v>
      </c>
      <c r="W40" s="749">
        <f ca="1">OFFSET(W40,0,-1)+1</f>
        <v>4</v>
      </c>
      <c r="X40" s="749">
        <f ca="1">OFFSET(X40,0,-1)+1</f>
        <v>5</v>
      </c>
      <c r="Y40" s="749">
        <f ca="1">OFFSET(Y40,0,-1)+1</f>
        <v>6</v>
      </c>
      <c r="Z40" s="1297">
        <f ca="1">OFFSET(Z40,0,-1)+1</f>
        <v>7</v>
      </c>
      <c r="AA40" s="1297"/>
      <c r="AB40" s="749">
        <f ca="1">OFFSET(AB40,0,-2)+1</f>
        <v>8</v>
      </c>
      <c r="AC40" s="749">
        <f ca="1">OFFSET(AC40,0,-1)+1</f>
        <v>9</v>
      </c>
      <c r="AD40" s="749">
        <f ca="1">OFFSET(AD40,0,-1)+1</f>
        <v>10</v>
      </c>
      <c r="AE40" s="749">
        <f ca="1">OFFSET(AE40,0,-1)+1</f>
        <v>11</v>
      </c>
      <c r="AF40" s="749">
        <f ca="1">OFFSET(AF40,0,-1)+1</f>
        <v>12</v>
      </c>
      <c r="AG40" s="1297">
        <f ca="1">OFFSET(AG40,0,-1)+1</f>
        <v>13</v>
      </c>
      <c r="AH40" s="1297"/>
      <c r="AI40" s="749">
        <f ca="1">OFFSET(AI40,0,-2)+1</f>
        <v>14</v>
      </c>
      <c r="AJ40" s="737">
        <f ca="1">OFFSET(AJ40,0,-1)</f>
        <v>14</v>
      </c>
      <c r="AK40" s="749">
        <f ca="1">OFFSET(AK40,0,-1)+1</f>
        <v>15</v>
      </c>
      <c r="AL40" s="65"/>
      <c r="AM40" s="65"/>
      <c r="AN40" s="65"/>
      <c r="AO40" s="65"/>
      <c r="AP40" s="65"/>
    </row>
    <row r="41" spans="1:42" ht="23.25" customHeight="1">
      <c r="A41" s="793" t="s">
        <v>253</v>
      </c>
      <c r="B41" s="793"/>
      <c r="C41" s="793"/>
      <c r="D41" s="793"/>
      <c r="E41" s="1287">
        <v>1</v>
      </c>
      <c r="F41" s="793"/>
      <c r="G41" s="793"/>
      <c r="H41" s="793"/>
      <c r="I41" s="793"/>
      <c r="J41" s="793"/>
      <c r="K41" s="793"/>
      <c r="L41" s="794"/>
      <c r="M41" s="433"/>
      <c r="N41" s="433"/>
      <c r="O41" s="433"/>
      <c r="Q41" s="2"/>
      <c r="R41" s="213"/>
      <c r="S41" s="725">
        <f>INDEX(PT_DIFFERENTIATION_NUM_NTAR,MATCH(A41,PT_DIFFERENTIATION_NTAR_ID,0))</f>
        <v>0</v>
      </c>
      <c r="T41" s="64" t="s">
        <v>139</v>
      </c>
      <c r="U41" s="170"/>
      <c r="V41" s="1281"/>
      <c r="W41" s="1282"/>
      <c r="X41" s="1282"/>
      <c r="Y41" s="1282"/>
      <c r="Z41" s="1282"/>
      <c r="AA41" s="1282"/>
      <c r="AB41" s="1283"/>
      <c r="AC41" s="1281" t="str">
        <f>INDEX(PT_DIFFERENTIATION_NTAR,MATCH(A41,PT_DIFFERENTIATION_NTAR_ID,0))</f>
        <v/>
      </c>
      <c r="AD41" s="1282"/>
      <c r="AE41" s="1282"/>
      <c r="AF41" s="1282"/>
      <c r="AG41" s="1282"/>
      <c r="AH41" s="1282"/>
      <c r="AI41" s="1282"/>
      <c r="AJ41" s="1283"/>
      <c r="AK41" s="7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3" t="s">
        <v>253</v>
      </c>
      <c r="B42" s="793" t="s">
        <v>254</v>
      </c>
      <c r="C42" s="793"/>
      <c r="D42" s="793"/>
      <c r="E42" s="1288"/>
      <c r="F42" s="1287">
        <v>1</v>
      </c>
      <c r="G42" s="793"/>
      <c r="H42" s="793"/>
      <c r="I42" s="793"/>
      <c r="J42" s="793"/>
      <c r="K42" s="793"/>
      <c r="L42" s="794"/>
      <c r="M42" s="433"/>
      <c r="N42" s="433"/>
      <c r="O42" s="433"/>
      <c r="P42" s="56"/>
      <c r="Q42" s="210"/>
      <c r="R42" s="211"/>
      <c r="S42" s="725" t="str">
        <f>INDEX(PT_DIFFERENTIATION_NUM_TER,MATCH(B42,PT_DIFFERENTIATION_TER_ID,0))</f>
        <v>.</v>
      </c>
      <c r="T42" s="178" t="s">
        <v>471</v>
      </c>
      <c r="U42" s="170"/>
      <c r="V42" s="1281"/>
      <c r="W42" s="1282"/>
      <c r="X42" s="1282"/>
      <c r="Y42" s="1282"/>
      <c r="Z42" s="1282"/>
      <c r="AA42" s="1282"/>
      <c r="AB42" s="1283"/>
      <c r="AC42" s="1281" t="str">
        <f>INDEX(PT_DIFFERENTIATION_TER,MATCH(B42,PT_DIFFERENTIATION_TER_ID,0))</f>
        <v/>
      </c>
      <c r="AD42" s="1282"/>
      <c r="AE42" s="1282"/>
      <c r="AF42" s="1282"/>
      <c r="AG42" s="1282"/>
      <c r="AH42" s="1282"/>
      <c r="AI42" s="1282"/>
      <c r="AJ42" s="1283"/>
      <c r="AK42" s="753" t="s">
        <v>472</v>
      </c>
      <c r="AM42" s="66"/>
      <c r="AN42" s="66" t="str">
        <f t="shared" si="1"/>
        <v>Территория действия тарифа</v>
      </c>
      <c r="AO42" s="66"/>
      <c r="AP42" s="66"/>
    </row>
    <row r="43" spans="1:42" ht="23.25" customHeight="1">
      <c r="A43" s="793" t="s">
        <v>253</v>
      </c>
      <c r="B43" s="793" t="s">
        <v>254</v>
      </c>
      <c r="C43" s="793" t="s">
        <v>255</v>
      </c>
      <c r="D43" s="793"/>
      <c r="E43" s="1288"/>
      <c r="F43" s="1288"/>
      <c r="G43" s="1287">
        <v>1</v>
      </c>
      <c r="H43" s="793"/>
      <c r="I43" s="793"/>
      <c r="J43" s="793"/>
      <c r="K43" s="793"/>
      <c r="L43" s="794"/>
      <c r="M43" s="433"/>
      <c r="N43" s="433"/>
      <c r="O43" s="433"/>
      <c r="P43" s="212"/>
      <c r="Q43" s="210"/>
      <c r="R43" s="211"/>
      <c r="S43" s="725" t="str">
        <f>INDEX(PT_DIFFERENTIATION_NUM_CS,MATCH(C43,PT_DIFFERENTIATION_CS_ID,0))</f>
        <v>..</v>
      </c>
      <c r="T43" s="179" t="s">
        <v>2065</v>
      </c>
      <c r="U43" s="170"/>
      <c r="V43" s="1281"/>
      <c r="W43" s="1282"/>
      <c r="X43" s="1282"/>
      <c r="Y43" s="1282"/>
      <c r="Z43" s="1282"/>
      <c r="AA43" s="1282"/>
      <c r="AB43" s="1283"/>
      <c r="AC43" s="1281" t="str">
        <f>INDEX(PT_DIFFERENTIATION_CS,MATCH(C43,PT_DIFFERENTIATION_CS_ID,0))</f>
        <v/>
      </c>
      <c r="AD43" s="1282"/>
      <c r="AE43" s="1282"/>
      <c r="AF43" s="1282"/>
      <c r="AG43" s="1282"/>
      <c r="AH43" s="1282"/>
      <c r="AI43" s="1282"/>
      <c r="AJ43" s="1283"/>
      <c r="AK43" s="753" t="s">
        <v>2066</v>
      </c>
      <c r="AM43" s="66"/>
      <c r="AN43" s="66" t="str">
        <f t="shared" si="1"/>
        <v>Наименование централизованной системы горячего водоснабжения</v>
      </c>
      <c r="AO43" s="66"/>
      <c r="AP43" s="66"/>
    </row>
    <row r="44" spans="1:42" ht="23.25" customHeight="1">
      <c r="A44" s="793" t="s">
        <v>253</v>
      </c>
      <c r="B44" s="793" t="s">
        <v>254</v>
      </c>
      <c r="C44" s="793" t="s">
        <v>255</v>
      </c>
      <c r="D44" s="793" t="s">
        <v>2072</v>
      </c>
      <c r="E44" s="1288"/>
      <c r="F44" s="1288"/>
      <c r="G44" s="1288"/>
      <c r="H44" s="1288"/>
      <c r="I44" s="1289" t="str">
        <f>S43&amp;".1"</f>
        <v>...1</v>
      </c>
      <c r="J44" s="793"/>
      <c r="K44" s="793"/>
      <c r="L44" s="794"/>
      <c r="P44" s="1211">
        <v>1</v>
      </c>
      <c r="Q44" s="119"/>
      <c r="R44" s="214"/>
      <c r="S44" s="725" t="str">
        <f>$I44</f>
        <v>...1</v>
      </c>
      <c r="T44" s="163" t="s">
        <v>1687</v>
      </c>
      <c r="U44" s="170"/>
      <c r="V44" s="1387"/>
      <c r="W44" s="1388"/>
      <c r="X44" s="1388"/>
      <c r="Y44" s="1388"/>
      <c r="Z44" s="1388"/>
      <c r="AA44" s="1388"/>
      <c r="AB44" s="1389"/>
      <c r="AC44" s="1390"/>
      <c r="AD44" s="1391"/>
      <c r="AE44" s="1391"/>
      <c r="AF44" s="1391"/>
      <c r="AG44" s="1391"/>
      <c r="AH44" s="1391"/>
      <c r="AI44" s="1391"/>
      <c r="AJ44" s="1392"/>
      <c r="AK44" s="753" t="s">
        <v>1688</v>
      </c>
      <c r="AM44" s="66"/>
      <c r="AN44" s="66" t="str">
        <f t="shared" si="1"/>
        <v>Наименование признака дифференциации</v>
      </c>
      <c r="AO44" s="66"/>
      <c r="AP44" s="66"/>
    </row>
    <row r="45" spans="1:42" ht="23.25" customHeight="1">
      <c r="A45" s="793" t="s">
        <v>253</v>
      </c>
      <c r="B45" s="793" t="s">
        <v>254</v>
      </c>
      <c r="C45" s="793" t="s">
        <v>255</v>
      </c>
      <c r="D45" s="793" t="s">
        <v>2072</v>
      </c>
      <c r="E45" s="1288"/>
      <c r="F45" s="1288"/>
      <c r="G45" s="1288"/>
      <c r="H45" s="1288"/>
      <c r="I45" s="1290"/>
      <c r="J45" s="1289" t="str">
        <f>I44&amp;".1"</f>
        <v>...1.1</v>
      </c>
      <c r="K45" s="793"/>
      <c r="L45" s="794" t="s">
        <v>480</v>
      </c>
      <c r="P45" s="1211"/>
      <c r="Q45" s="1211">
        <v>1</v>
      </c>
      <c r="R45" s="215"/>
      <c r="S45" s="725" t="str">
        <f>$J45</f>
        <v>...1.1</v>
      </c>
      <c r="T45" s="164" t="s">
        <v>481</v>
      </c>
      <c r="U45" s="170"/>
      <c r="V45" s="1275"/>
      <c r="W45" s="1276"/>
      <c r="X45" s="1276"/>
      <c r="Y45" s="1276"/>
      <c r="Z45" s="1276"/>
      <c r="AA45" s="1276"/>
      <c r="AB45" s="1277"/>
      <c r="AC45" s="1275"/>
      <c r="AD45" s="1276"/>
      <c r="AE45" s="1276"/>
      <c r="AF45" s="1276"/>
      <c r="AG45" s="1276"/>
      <c r="AH45" s="1276"/>
      <c r="AI45" s="1276"/>
      <c r="AJ45" s="1277"/>
      <c r="AK45" s="778" t="s">
        <v>1689</v>
      </c>
      <c r="AM45" s="66"/>
      <c r="AN45" s="66" t="str">
        <f t="shared" si="1"/>
        <v>Группа потребителей</v>
      </c>
      <c r="AO45" s="66"/>
      <c r="AP45" s="66"/>
    </row>
    <row r="46" spans="1:42" ht="23.25" customHeight="1">
      <c r="A46" s="793" t="s">
        <v>253</v>
      </c>
      <c r="B46" s="793" t="s">
        <v>254</v>
      </c>
      <c r="C46" s="793" t="s">
        <v>255</v>
      </c>
      <c r="D46" s="793" t="s">
        <v>2072</v>
      </c>
      <c r="E46" s="1288"/>
      <c r="F46" s="1288"/>
      <c r="G46" s="1288"/>
      <c r="H46" s="1288"/>
      <c r="I46" s="1290"/>
      <c r="J46" s="1290"/>
      <c r="K46" s="1289" t="str">
        <f>J45&amp;".1"</f>
        <v>...1.1.1</v>
      </c>
      <c r="L46" s="794"/>
      <c r="P46" s="1211"/>
      <c r="Q46" s="1211"/>
      <c r="R46" s="215">
        <v>1</v>
      </c>
      <c r="S46" s="725" t="str">
        <f>$K46</f>
        <v>...1.1.1</v>
      </c>
      <c r="T46" s="836"/>
      <c r="U46" s="170"/>
      <c r="V46" s="376"/>
      <c r="W46" s="376"/>
      <c r="X46" s="792"/>
      <c r="Y46" s="1285"/>
      <c r="Z46" s="1284" t="s">
        <v>59</v>
      </c>
      <c r="AA46" s="1285"/>
      <c r="AB46" s="1284" t="s">
        <v>59</v>
      </c>
      <c r="AC46" s="317"/>
      <c r="AD46" s="317"/>
      <c r="AE46" s="752"/>
      <c r="AF46" s="1291"/>
      <c r="AG46" s="1092" t="s">
        <v>59</v>
      </c>
      <c r="AH46" s="1293"/>
      <c r="AI46" s="1092" t="s">
        <v>57</v>
      </c>
      <c r="AJ46" s="837"/>
      <c r="AK46"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3" t="s">
        <v>253</v>
      </c>
      <c r="B47" s="793" t="s">
        <v>254</v>
      </c>
      <c r="C47" s="793" t="s">
        <v>255</v>
      </c>
      <c r="D47" s="793" t="s">
        <v>2072</v>
      </c>
      <c r="E47" s="1288"/>
      <c r="F47" s="1288"/>
      <c r="G47" s="1288"/>
      <c r="H47" s="1288"/>
      <c r="I47" s="1290"/>
      <c r="J47" s="1290"/>
      <c r="K47" s="1289"/>
      <c r="L47" s="794"/>
      <c r="P47" s="1211"/>
      <c r="Q47" s="1211"/>
      <c r="R47" s="215"/>
      <c r="S47" s="62"/>
      <c r="T47" s="170"/>
      <c r="U47" s="170"/>
      <c r="V47" s="376"/>
      <c r="W47" s="376"/>
      <c r="X47" s="198" t="str">
        <f>Y46&amp;"-"&amp;AA46</f>
        <v>-</v>
      </c>
      <c r="Y47" s="1284"/>
      <c r="Z47" s="1284"/>
      <c r="AA47" s="1284"/>
      <c r="AB47" s="1284"/>
      <c r="AC47" s="196"/>
      <c r="AD47" s="196"/>
      <c r="AE47" s="198" t="str">
        <f>AF46&amp;"-"&amp;AH46</f>
        <v>-</v>
      </c>
      <c r="AF47" s="1292"/>
      <c r="AG47" s="1092"/>
      <c r="AH47" s="1294"/>
      <c r="AI47" s="1092"/>
      <c r="AJ47" s="396"/>
      <c r="AK47" s="1393"/>
      <c r="AM47" s="66"/>
      <c r="AN47" s="66" t="str">
        <f t="shared" si="1"/>
        <v/>
      </c>
      <c r="AO47" s="66"/>
      <c r="AP47" s="66"/>
    </row>
    <row r="48" spans="1:42" ht="21" customHeight="1">
      <c r="A48" s="793" t="s">
        <v>253</v>
      </c>
      <c r="B48" s="793" t="s">
        <v>254</v>
      </c>
      <c r="C48" s="793" t="s">
        <v>255</v>
      </c>
      <c r="D48" s="793" t="s">
        <v>2072</v>
      </c>
      <c r="E48" s="1288"/>
      <c r="F48" s="1288"/>
      <c r="G48" s="1288"/>
      <c r="H48" s="1288"/>
      <c r="I48" s="1290"/>
      <c r="J48" s="1289"/>
      <c r="K48" s="793"/>
      <c r="L48" s="794"/>
      <c r="P48" s="1211"/>
      <c r="Q48" s="1211"/>
      <c r="R48" s="214"/>
      <c r="S48" s="767"/>
      <c r="T48" s="165" t="s">
        <v>1690</v>
      </c>
      <c r="U48" s="221"/>
      <c r="V48" s="221"/>
      <c r="W48" s="221"/>
      <c r="X48" s="221"/>
      <c r="Y48" s="221"/>
      <c r="Z48" s="221"/>
      <c r="AA48" s="221"/>
      <c r="AB48" s="221"/>
      <c r="AC48" s="221"/>
      <c r="AD48" s="221"/>
      <c r="AE48" s="221"/>
      <c r="AF48" s="221"/>
      <c r="AG48" s="221"/>
      <c r="AH48" s="221"/>
      <c r="AI48" s="221"/>
      <c r="AJ48" s="221"/>
      <c r="AK48" s="753" t="s">
        <v>1691</v>
      </c>
      <c r="AM48" s="66"/>
      <c r="AN48" s="66" t="str">
        <f t="shared" si="1"/>
        <v>Добавить значение признака дифференциации</v>
      </c>
      <c r="AO48" s="66"/>
      <c r="AP48" s="66"/>
    </row>
    <row r="49" spans="1:42" ht="21" customHeight="1">
      <c r="A49" s="793" t="s">
        <v>253</v>
      </c>
      <c r="B49" s="793" t="s">
        <v>254</v>
      </c>
      <c r="C49" s="793" t="s">
        <v>255</v>
      </c>
      <c r="D49" s="793" t="s">
        <v>2072</v>
      </c>
      <c r="E49" s="1288"/>
      <c r="F49" s="1288"/>
      <c r="G49" s="1288"/>
      <c r="H49" s="1288"/>
      <c r="I49" s="1289"/>
      <c r="J49" s="793"/>
      <c r="K49" s="793"/>
      <c r="L49" s="794"/>
      <c r="P49" s="1211"/>
      <c r="Q49" s="119"/>
      <c r="R49" s="214"/>
      <c r="S49" s="767"/>
      <c r="T49" s="219" t="s">
        <v>486</v>
      </c>
      <c r="U49" s="221"/>
      <c r="V49" s="221"/>
      <c r="W49" s="221"/>
      <c r="X49" s="221"/>
      <c r="Y49" s="221"/>
      <c r="Z49" s="221"/>
      <c r="AA49" s="221"/>
      <c r="AB49" s="197"/>
      <c r="AC49" s="221"/>
      <c r="AD49" s="221"/>
      <c r="AE49" s="221"/>
      <c r="AF49" s="221"/>
      <c r="AG49" s="221"/>
      <c r="AH49" s="221"/>
      <c r="AI49" s="197"/>
      <c r="AJ49" s="221"/>
      <c r="AK49" s="838"/>
      <c r="AM49" s="66"/>
      <c r="AN49" s="66" t="str">
        <f t="shared" si="1"/>
        <v>Добавить группу потребителей</v>
      </c>
      <c r="AO49" s="66"/>
      <c r="AP49" s="66"/>
    </row>
    <row r="50" spans="1:42" ht="21" customHeight="1">
      <c r="A50" s="793" t="s">
        <v>253</v>
      </c>
      <c r="B50" s="793" t="s">
        <v>254</v>
      </c>
      <c r="C50" s="793" t="s">
        <v>255</v>
      </c>
      <c r="D50" s="793" t="s">
        <v>2072</v>
      </c>
      <c r="E50" s="1288"/>
      <c r="F50" s="1288"/>
      <c r="G50" s="1288"/>
      <c r="H50" s="1287"/>
      <c r="I50" s="793"/>
      <c r="J50" s="793"/>
      <c r="K50" s="793"/>
      <c r="L50" s="794"/>
      <c r="M50" s="433"/>
      <c r="N50" s="433"/>
      <c r="O50" s="60"/>
      <c r="P50" s="2"/>
      <c r="Q50" s="224"/>
      <c r="R50" s="213"/>
      <c r="S50" s="767"/>
      <c r="T50" s="104" t="s">
        <v>1692</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253</v>
      </c>
      <c r="B51" s="142" t="s">
        <v>254</v>
      </c>
      <c r="C51" s="142"/>
      <c r="D51" s="142"/>
      <c r="E51" s="1288"/>
      <c r="F51" s="1287"/>
      <c r="G51" s="142"/>
      <c r="H51" s="142"/>
      <c r="I51" s="142"/>
      <c r="J51" s="142"/>
      <c r="K51" s="142"/>
      <c r="L51" s="355"/>
      <c r="M51" s="784"/>
      <c r="N51" s="784"/>
      <c r="P51" s="101"/>
      <c r="Q51" s="780"/>
      <c r="R51" s="101"/>
      <c r="S51" s="785"/>
      <c r="T51" s="787" t="s">
        <v>445</v>
      </c>
      <c r="U51" s="323"/>
      <c r="V51" s="323"/>
      <c r="W51" s="323"/>
      <c r="X51" s="323"/>
      <c r="Y51" s="323"/>
      <c r="Z51" s="323"/>
      <c r="AA51" s="323"/>
      <c r="AB51" s="323"/>
      <c r="AC51" s="323"/>
      <c r="AD51" s="323"/>
      <c r="AE51" s="323"/>
      <c r="AF51" s="323"/>
      <c r="AG51" s="323"/>
      <c r="AH51" s="323"/>
      <c r="AI51" s="323"/>
      <c r="AJ51" s="323"/>
      <c r="AK51" s="323"/>
      <c r="AM51" s="66"/>
      <c r="AN51" s="66" t="str">
        <f t="shared" si="1"/>
        <v>Добавить централизованную систему для дифференциации</v>
      </c>
      <c r="AO51" s="66"/>
      <c r="AP51" s="66"/>
    </row>
    <row r="52" spans="1:42" s="65" customFormat="1" ht="0" hidden="1" customHeight="1">
      <c r="A52" s="142" t="s">
        <v>253</v>
      </c>
      <c r="B52" s="142"/>
      <c r="C52" s="142"/>
      <c r="D52" s="142"/>
      <c r="E52" s="1287"/>
      <c r="F52" s="142"/>
      <c r="G52" s="142"/>
      <c r="H52" s="142"/>
      <c r="I52" s="142"/>
      <c r="J52" s="142"/>
      <c r="K52" s="142"/>
      <c r="L52" s="355"/>
      <c r="M52" s="784"/>
      <c r="N52" s="784"/>
      <c r="P52" s="101"/>
      <c r="Q52" s="780"/>
      <c r="R52" s="101"/>
      <c r="S52" s="785"/>
      <c r="T52" s="787" t="s">
        <v>446</v>
      </c>
      <c r="U52" s="323"/>
      <c r="V52" s="323"/>
      <c r="W52" s="323"/>
      <c r="X52" s="323"/>
      <c r="Y52" s="323"/>
      <c r="Z52" s="323"/>
      <c r="AA52" s="323"/>
      <c r="AB52" s="323"/>
      <c r="AC52" s="323"/>
      <c r="AD52" s="323"/>
      <c r="AE52" s="323"/>
      <c r="AF52" s="323"/>
      <c r="AG52" s="323"/>
      <c r="AH52" s="323"/>
      <c r="AI52" s="323"/>
      <c r="AJ52" s="323"/>
      <c r="AK52" s="323"/>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4"/>
      <c r="N53" s="784"/>
      <c r="P53" s="101"/>
      <c r="Q53" s="780"/>
      <c r="R53" s="101"/>
      <c r="S53" s="785"/>
      <c r="T53" s="787" t="s">
        <v>447</v>
      </c>
      <c r="U53" s="323"/>
      <c r="V53" s="323"/>
      <c r="W53" s="323"/>
      <c r="X53" s="323"/>
      <c r="Y53" s="323"/>
      <c r="Z53" s="323"/>
      <c r="AA53" s="323"/>
      <c r="AB53" s="323"/>
      <c r="AC53" s="323"/>
      <c r="AD53" s="323"/>
      <c r="AE53" s="323"/>
      <c r="AF53" s="323"/>
      <c r="AG53" s="323"/>
      <c r="AH53" s="323"/>
      <c r="AI53" s="323"/>
      <c r="AJ53" s="323"/>
      <c r="AK53" s="323"/>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519</v>
      </c>
      <c r="T55" s="1286" t="s">
        <v>2073</v>
      </c>
      <c r="U55" s="1286"/>
      <c r="V55" s="1286"/>
      <c r="W55" s="1286"/>
      <c r="X55" s="1286"/>
      <c r="Y55" s="1286"/>
      <c r="Z55" s="1286"/>
      <c r="AA55" s="1286"/>
      <c r="AB55" s="1286"/>
      <c r="AC55" s="1286"/>
      <c r="AD55" s="1286"/>
      <c r="AE55" s="1286"/>
      <c r="AF55" s="1286"/>
      <c r="AG55" s="1286"/>
      <c r="AH55" s="1286"/>
      <c r="AI55" s="1286"/>
      <c r="AJ55" s="1286"/>
      <c r="AK55" s="1286"/>
    </row>
    <row r="56" spans="1:42" ht="14.25" hidden="1" customHeight="1">
      <c r="O56" s="60"/>
    </row>
    <row r="57" spans="1:42" ht="14.25" hidden="1" customHeight="1">
      <c r="O57" s="60"/>
      <c r="S57" s="204" t="s">
        <v>519</v>
      </c>
      <c r="T57" s="1286" t="s">
        <v>2074</v>
      </c>
      <c r="U57" s="1286"/>
      <c r="V57" s="1286"/>
      <c r="W57" s="1286"/>
      <c r="X57" s="1286"/>
      <c r="Y57" s="1286"/>
      <c r="Z57" s="1286"/>
      <c r="AA57" s="1286"/>
      <c r="AB57" s="1286"/>
      <c r="AC57" s="1286"/>
      <c r="AD57" s="1286"/>
      <c r="AE57" s="1286"/>
      <c r="AF57" s="1286"/>
      <c r="AG57" s="1286"/>
      <c r="AH57" s="1286"/>
      <c r="AI57" s="1286"/>
      <c r="AJ57" s="1286"/>
      <c r="AK57" s="128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0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0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0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0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0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0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0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0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E8E0A-ECF4-58D6-18D6-3C31D4C103F5}">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3"/>
      <c r="B2" s="793"/>
      <c r="C2" s="793"/>
      <c r="D2" s="793"/>
      <c r="E2" s="1287">
        <v>1</v>
      </c>
      <c r="F2" s="793"/>
      <c r="G2" s="793"/>
      <c r="H2" s="793"/>
      <c r="I2" s="793"/>
      <c r="J2" s="793"/>
      <c r="K2" s="793"/>
      <c r="L2" s="794"/>
      <c r="M2" s="433"/>
      <c r="N2" s="433"/>
      <c r="O2" s="433"/>
      <c r="Q2" s="2"/>
      <c r="R2" s="213"/>
      <c r="S2" s="725" t="e">
        <f>INDEX(PT_DIFFERENTIATION_NUM_NTAR,MATCH(A2,PT_DIFFERENTIATION_NTAR_ID,0))</f>
        <v>#N/A</v>
      </c>
      <c r="T2" s="64" t="s">
        <v>139</v>
      </c>
      <c r="U2" s="170"/>
      <c r="V2" s="1281"/>
      <c r="W2" s="1282"/>
      <c r="X2" s="1282"/>
      <c r="Y2" s="1282"/>
      <c r="Z2" s="1282"/>
      <c r="AA2" s="1282"/>
      <c r="AB2" s="1283"/>
      <c r="AC2" s="1281" t="e">
        <f>INDEX(PT_DIFFERENTIATION_NTAR,MATCH(A2,PT_DIFFERENTIATION_NTAR_ID,0))</f>
        <v>#N/A</v>
      </c>
      <c r="AD2" s="1282"/>
      <c r="AE2" s="1282"/>
      <c r="AF2" s="1282"/>
      <c r="AG2" s="1282"/>
      <c r="AH2" s="1282"/>
      <c r="AI2" s="1282"/>
      <c r="AJ2" s="1283"/>
      <c r="AK2" s="7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3"/>
      <c r="B3" s="793"/>
      <c r="C3" s="793"/>
      <c r="D3" s="793"/>
      <c r="E3" s="1288"/>
      <c r="F3" s="1287">
        <v>1</v>
      </c>
      <c r="G3" s="793"/>
      <c r="H3" s="793"/>
      <c r="I3" s="793"/>
      <c r="J3" s="793"/>
      <c r="K3" s="793"/>
      <c r="L3" s="794"/>
      <c r="M3" s="433"/>
      <c r="N3" s="433"/>
      <c r="O3" s="433"/>
      <c r="P3" s="56"/>
      <c r="Q3" s="210"/>
      <c r="R3" s="211"/>
      <c r="S3" s="725" t="e">
        <f>INDEX(PT_DIFFERENTIATION_NUM_TER,MATCH(B3,PT_DIFFERENTIATION_TER_ID,0))</f>
        <v>#N/A</v>
      </c>
      <c r="T3" s="178" t="s">
        <v>471</v>
      </c>
      <c r="U3" s="170"/>
      <c r="V3" s="1281"/>
      <c r="W3" s="1282"/>
      <c r="X3" s="1282"/>
      <c r="Y3" s="1282"/>
      <c r="Z3" s="1282"/>
      <c r="AA3" s="1282"/>
      <c r="AB3" s="1283"/>
      <c r="AC3" s="1281" t="e">
        <f>INDEX(PT_DIFFERENTIATION_TER,MATCH(B3,PT_DIFFERENTIATION_TER_ID,0))</f>
        <v>#N/A</v>
      </c>
      <c r="AD3" s="1282"/>
      <c r="AE3" s="1282"/>
      <c r="AF3" s="1282"/>
      <c r="AG3" s="1282"/>
      <c r="AH3" s="1282"/>
      <c r="AI3" s="1282"/>
      <c r="AJ3" s="1283"/>
      <c r="AK3" s="753" t="s">
        <v>472</v>
      </c>
      <c r="AM3" s="66"/>
      <c r="AN3" s="66" t="str">
        <f t="shared" si="0"/>
        <v>Территория действия тарифа</v>
      </c>
      <c r="AO3" s="66"/>
      <c r="AP3" s="66"/>
    </row>
    <row r="4" spans="1:42" ht="23.25" hidden="1" customHeight="1">
      <c r="A4" s="793"/>
      <c r="B4" s="793"/>
      <c r="C4" s="793"/>
      <c r="D4" s="793"/>
      <c r="E4" s="1288"/>
      <c r="F4" s="1288"/>
      <c r="G4" s="1287">
        <v>1</v>
      </c>
      <c r="H4" s="793"/>
      <c r="I4" s="793"/>
      <c r="J4" s="793"/>
      <c r="K4" s="793"/>
      <c r="L4" s="794"/>
      <c r="M4" s="433"/>
      <c r="N4" s="433"/>
      <c r="O4" s="433"/>
      <c r="P4" s="212"/>
      <c r="Q4" s="210"/>
      <c r="R4" s="211"/>
      <c r="S4" s="725" t="e">
        <f>INDEX(PT_DIFFERENTIATION_NUM_CS,MATCH(C4,PT_DIFFERENTIATION_CS_ID,0))</f>
        <v>#N/A</v>
      </c>
      <c r="T4" s="179" t="s">
        <v>2065</v>
      </c>
      <c r="U4" s="170"/>
      <c r="V4" s="1281"/>
      <c r="W4" s="1282"/>
      <c r="X4" s="1282"/>
      <c r="Y4" s="1282"/>
      <c r="Z4" s="1282"/>
      <c r="AA4" s="1282"/>
      <c r="AB4" s="1283"/>
      <c r="AC4" s="1281" t="e">
        <f>INDEX(PT_DIFFERENTIATION_CS,MATCH(C4,PT_DIFFERENTIATION_CS_ID,0))</f>
        <v>#N/A</v>
      </c>
      <c r="AD4" s="1282"/>
      <c r="AE4" s="1282"/>
      <c r="AF4" s="1282"/>
      <c r="AG4" s="1282"/>
      <c r="AH4" s="1282"/>
      <c r="AI4" s="1282"/>
      <c r="AJ4" s="1283"/>
      <c r="AK4" s="753" t="s">
        <v>2066</v>
      </c>
      <c r="AM4" s="66"/>
      <c r="AN4" s="66" t="str">
        <f t="shared" si="0"/>
        <v>Наименование централизованной системы горячего водоснабжения</v>
      </c>
      <c r="AO4" s="66"/>
      <c r="AP4" s="66"/>
    </row>
    <row r="5" spans="1:42" ht="23.25" hidden="1" customHeight="1">
      <c r="A5" s="793"/>
      <c r="B5" s="793"/>
      <c r="C5" s="793"/>
      <c r="D5" s="793"/>
      <c r="E5" s="1288"/>
      <c r="F5" s="1288"/>
      <c r="G5" s="1288"/>
      <c r="H5" s="1288"/>
      <c r="I5" s="1289" t="e">
        <f>S4&amp;".1"</f>
        <v>#N/A</v>
      </c>
      <c r="J5" s="793"/>
      <c r="K5" s="793"/>
      <c r="L5" s="794"/>
      <c r="P5" s="1211">
        <v>1</v>
      </c>
      <c r="Q5" s="119"/>
      <c r="R5" s="214"/>
      <c r="S5" s="725" t="e">
        <f>$I5</f>
        <v>#N/A</v>
      </c>
      <c r="T5" s="163" t="s">
        <v>1687</v>
      </c>
      <c r="U5" s="170"/>
      <c r="V5" s="1387"/>
      <c r="W5" s="1388"/>
      <c r="X5" s="1388"/>
      <c r="Y5" s="1388"/>
      <c r="Z5" s="1388"/>
      <c r="AA5" s="1388"/>
      <c r="AB5" s="1389"/>
      <c r="AC5" s="1390"/>
      <c r="AD5" s="1391"/>
      <c r="AE5" s="1391"/>
      <c r="AF5" s="1391"/>
      <c r="AG5" s="1391"/>
      <c r="AH5" s="1391"/>
      <c r="AI5" s="1391"/>
      <c r="AJ5" s="1392"/>
      <c r="AK5" s="753" t="s">
        <v>1688</v>
      </c>
      <c r="AM5" s="66"/>
      <c r="AN5" s="66" t="str">
        <f t="shared" si="0"/>
        <v>Наименование признака дифференциации</v>
      </c>
      <c r="AO5" s="66"/>
      <c r="AP5" s="66"/>
    </row>
    <row r="6" spans="1:42" ht="23.25" hidden="1" customHeight="1">
      <c r="A6" s="793"/>
      <c r="B6" s="793"/>
      <c r="C6" s="793"/>
      <c r="D6" s="793"/>
      <c r="E6" s="1288"/>
      <c r="F6" s="1288"/>
      <c r="G6" s="1288"/>
      <c r="H6" s="1288"/>
      <c r="I6" s="1290"/>
      <c r="J6" s="1289" t="e">
        <f>I5&amp;".1"</f>
        <v>#N/A</v>
      </c>
      <c r="K6" s="793"/>
      <c r="L6" s="794" t="s">
        <v>480</v>
      </c>
      <c r="P6" s="1211"/>
      <c r="Q6" s="1211">
        <v>1</v>
      </c>
      <c r="R6" s="215"/>
      <c r="S6" s="725" t="e">
        <f>$J6</f>
        <v>#N/A</v>
      </c>
      <c r="T6" s="164" t="s">
        <v>481</v>
      </c>
      <c r="U6" s="170"/>
      <c r="V6" s="1275"/>
      <c r="W6" s="1276"/>
      <c r="X6" s="1276"/>
      <c r="Y6" s="1276"/>
      <c r="Z6" s="1276"/>
      <c r="AA6" s="1276"/>
      <c r="AB6" s="1277"/>
      <c r="AC6" s="1275"/>
      <c r="AD6" s="1276"/>
      <c r="AE6" s="1276"/>
      <c r="AF6" s="1276"/>
      <c r="AG6" s="1276"/>
      <c r="AH6" s="1276"/>
      <c r="AI6" s="1276"/>
      <c r="AJ6" s="1277"/>
      <c r="AK6" s="778" t="s">
        <v>1689</v>
      </c>
      <c r="AM6" s="66"/>
      <c r="AN6" s="66" t="str">
        <f t="shared" si="0"/>
        <v>Группа потребителей</v>
      </c>
      <c r="AO6" s="66"/>
      <c r="AP6" s="66"/>
    </row>
    <row r="7" spans="1:42" ht="23.25" hidden="1" customHeight="1">
      <c r="A7" s="793"/>
      <c r="B7" s="793"/>
      <c r="C7" s="793"/>
      <c r="D7" s="793"/>
      <c r="E7" s="1288"/>
      <c r="F7" s="1288"/>
      <c r="G7" s="1288"/>
      <c r="H7" s="1288"/>
      <c r="I7" s="1290"/>
      <c r="J7" s="1290"/>
      <c r="K7" s="1289" t="e">
        <f>J6&amp;".1"</f>
        <v>#N/A</v>
      </c>
      <c r="L7" s="794"/>
      <c r="P7" s="1211"/>
      <c r="Q7" s="1211"/>
      <c r="R7" s="215">
        <v>1</v>
      </c>
      <c r="S7" s="725" t="e">
        <f>$K7</f>
        <v>#N/A</v>
      </c>
      <c r="T7" s="836"/>
      <c r="U7" s="170"/>
      <c r="V7" s="317"/>
      <c r="W7" s="317"/>
      <c r="X7" s="752"/>
      <c r="Y7" s="1291"/>
      <c r="Z7" s="1092" t="s">
        <v>59</v>
      </c>
      <c r="AA7" s="1291"/>
      <c r="AB7" s="1092" t="s">
        <v>59</v>
      </c>
      <c r="AC7" s="317"/>
      <c r="AD7" s="317"/>
      <c r="AE7" s="752"/>
      <c r="AF7" s="1291"/>
      <c r="AG7" s="1092" t="s">
        <v>59</v>
      </c>
      <c r="AH7" s="1293"/>
      <c r="AI7" s="1092" t="s">
        <v>59</v>
      </c>
      <c r="AJ7" s="837"/>
      <c r="AK7"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3"/>
      <c r="B8" s="793"/>
      <c r="C8" s="793"/>
      <c r="D8" s="793"/>
      <c r="E8" s="1288"/>
      <c r="F8" s="1288"/>
      <c r="G8" s="1288"/>
      <c r="H8" s="1288"/>
      <c r="I8" s="1290"/>
      <c r="J8" s="1290"/>
      <c r="K8" s="1289"/>
      <c r="L8" s="794"/>
      <c r="P8" s="1211"/>
      <c r="Q8" s="1211"/>
      <c r="R8" s="215"/>
      <c r="S8" s="62"/>
      <c r="T8" s="170"/>
      <c r="U8" s="170"/>
      <c r="V8" s="196"/>
      <c r="W8" s="196"/>
      <c r="X8" s="198" t="str">
        <f>Y7&amp;"-"&amp;AA7</f>
        <v>-</v>
      </c>
      <c r="Y8" s="1292"/>
      <c r="Z8" s="1092"/>
      <c r="AA8" s="1292"/>
      <c r="AB8" s="1092"/>
      <c r="AC8" s="196"/>
      <c r="AD8" s="196"/>
      <c r="AE8" s="198" t="str">
        <f>AF7&amp;"-"&amp;AH7</f>
        <v>-</v>
      </c>
      <c r="AF8" s="1292"/>
      <c r="AG8" s="1092"/>
      <c r="AH8" s="1294"/>
      <c r="AI8" s="1092"/>
      <c r="AJ8" s="396"/>
      <c r="AK8" s="1393"/>
      <c r="AM8" s="66"/>
      <c r="AN8" s="66" t="str">
        <f t="shared" si="0"/>
        <v/>
      </c>
      <c r="AO8" s="66"/>
      <c r="AP8" s="66"/>
    </row>
    <row r="9" spans="1:42" ht="21" hidden="1" customHeight="1">
      <c r="A9" s="793"/>
      <c r="B9" s="793"/>
      <c r="C9" s="793"/>
      <c r="D9" s="793"/>
      <c r="E9" s="1288"/>
      <c r="F9" s="1288"/>
      <c r="G9" s="1288"/>
      <c r="H9" s="1288"/>
      <c r="I9" s="1290"/>
      <c r="J9" s="1289"/>
      <c r="K9" s="793"/>
      <c r="L9" s="794"/>
      <c r="P9" s="1211"/>
      <c r="Q9" s="1211"/>
      <c r="R9" s="214"/>
      <c r="S9" s="767"/>
      <c r="T9" s="165" t="s">
        <v>1690</v>
      </c>
      <c r="U9" s="221"/>
      <c r="V9" s="221"/>
      <c r="W9" s="221"/>
      <c r="X9" s="221"/>
      <c r="Y9" s="221"/>
      <c r="Z9" s="221"/>
      <c r="AA9" s="221"/>
      <c r="AB9" s="221"/>
      <c r="AC9" s="221"/>
      <c r="AD9" s="221"/>
      <c r="AE9" s="221"/>
      <c r="AF9" s="221"/>
      <c r="AG9" s="221"/>
      <c r="AH9" s="221"/>
      <c r="AI9" s="221"/>
      <c r="AJ9" s="221"/>
      <c r="AK9" s="753" t="s">
        <v>1691</v>
      </c>
      <c r="AM9" s="66"/>
      <c r="AN9" s="66" t="str">
        <f t="shared" si="0"/>
        <v>Добавить значение признака дифференциации</v>
      </c>
      <c r="AO9" s="66"/>
      <c r="AP9" s="66"/>
    </row>
    <row r="10" spans="1:42" ht="21" hidden="1" customHeight="1">
      <c r="A10" s="793"/>
      <c r="B10" s="793"/>
      <c r="C10" s="793"/>
      <c r="D10" s="793"/>
      <c r="E10" s="1288"/>
      <c r="F10" s="1288"/>
      <c r="G10" s="1288"/>
      <c r="H10" s="1288"/>
      <c r="I10" s="1289"/>
      <c r="J10" s="793"/>
      <c r="K10" s="793"/>
      <c r="L10" s="794"/>
      <c r="P10" s="1211"/>
      <c r="Q10" s="119"/>
      <c r="R10" s="214"/>
      <c r="S10" s="767"/>
      <c r="T10" s="219" t="s">
        <v>486</v>
      </c>
      <c r="U10" s="221"/>
      <c r="V10" s="221"/>
      <c r="W10" s="221"/>
      <c r="X10" s="221"/>
      <c r="Y10" s="221"/>
      <c r="Z10" s="221"/>
      <c r="AA10" s="221"/>
      <c r="AB10" s="197"/>
      <c r="AC10" s="221"/>
      <c r="AD10" s="221"/>
      <c r="AE10" s="221"/>
      <c r="AF10" s="221"/>
      <c r="AG10" s="221"/>
      <c r="AH10" s="221"/>
      <c r="AI10" s="197"/>
      <c r="AJ10" s="221"/>
      <c r="AK10" s="838"/>
      <c r="AM10" s="66"/>
      <c r="AN10" s="66" t="str">
        <f t="shared" si="0"/>
        <v>Добавить группу потребителей</v>
      </c>
      <c r="AO10" s="66"/>
      <c r="AP10" s="66"/>
    </row>
    <row r="11" spans="1:42" ht="21" hidden="1" customHeight="1">
      <c r="A11" s="793"/>
      <c r="B11" s="793"/>
      <c r="C11" s="793"/>
      <c r="D11" s="793"/>
      <c r="E11" s="1288"/>
      <c r="F11" s="1288"/>
      <c r="G11" s="1288"/>
      <c r="H11" s="1287"/>
      <c r="I11" s="793"/>
      <c r="J11" s="793"/>
      <c r="K11" s="793"/>
      <c r="L11" s="794"/>
      <c r="M11" s="433"/>
      <c r="N11" s="433"/>
      <c r="O11" s="60"/>
      <c r="P11" s="2"/>
      <c r="Q11" s="224"/>
      <c r="R11" s="213"/>
      <c r="S11" s="767"/>
      <c r="T11" s="104" t="s">
        <v>1692</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88"/>
      <c r="F12" s="1287"/>
      <c r="G12" s="142"/>
      <c r="H12" s="142"/>
      <c r="I12" s="142"/>
      <c r="J12" s="142"/>
      <c r="K12" s="142"/>
      <c r="L12" s="355"/>
      <c r="M12" s="784"/>
      <c r="N12" s="784"/>
      <c r="P12" s="101"/>
      <c r="Q12" s="780"/>
      <c r="R12" s="101"/>
      <c r="S12" s="785"/>
      <c r="T12" s="787" t="s">
        <v>445</v>
      </c>
      <c r="U12" s="323"/>
      <c r="V12" s="323"/>
      <c r="W12" s="323"/>
      <c r="X12" s="323"/>
      <c r="Y12" s="323"/>
      <c r="Z12" s="323"/>
      <c r="AA12" s="323"/>
      <c r="AB12" s="323"/>
      <c r="AC12" s="323"/>
      <c r="AD12" s="323"/>
      <c r="AE12" s="323"/>
      <c r="AF12" s="323"/>
      <c r="AG12" s="323"/>
      <c r="AH12" s="323"/>
      <c r="AI12" s="323"/>
      <c r="AJ12" s="323"/>
      <c r="AK12" s="323"/>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87"/>
      <c r="F13" s="142"/>
      <c r="G13" s="142"/>
      <c r="H13" s="142"/>
      <c r="I13" s="142"/>
      <c r="J13" s="142"/>
      <c r="K13" s="142"/>
      <c r="L13" s="355"/>
      <c r="M13" s="784"/>
      <c r="N13" s="784"/>
      <c r="P13" s="101"/>
      <c r="Q13" s="780"/>
      <c r="R13" s="101"/>
      <c r="S13" s="785"/>
      <c r="T13" s="787" t="s">
        <v>446</v>
      </c>
      <c r="U13" s="323"/>
      <c r="V13" s="323"/>
      <c r="W13" s="323"/>
      <c r="X13" s="323"/>
      <c r="Y13" s="323"/>
      <c r="Z13" s="323"/>
      <c r="AA13" s="323"/>
      <c r="AB13" s="323"/>
      <c r="AC13" s="323"/>
      <c r="AD13" s="323"/>
      <c r="AE13" s="323"/>
      <c r="AF13" s="323"/>
      <c r="AG13" s="323"/>
      <c r="AH13" s="323"/>
      <c r="AI13" s="323"/>
      <c r="AJ13" s="323"/>
      <c r="AK13" s="323"/>
      <c r="AM13" s="66"/>
      <c r="AN13" s="66" t="str">
        <f t="shared" si="0"/>
        <v>Добавить территорию для дифференциации</v>
      </c>
      <c r="AO13" s="66"/>
      <c r="AP13" s="66"/>
    </row>
    <row r="14" spans="1:42" ht="14.25" hidden="1" customHeight="1"/>
    <row r="15" spans="1:42" ht="14.25" hidden="1" customHeight="1">
      <c r="AC15" s="376"/>
      <c r="AD15" s="376"/>
      <c r="AE15" s="792"/>
      <c r="AF15" s="1285"/>
      <c r="AG15" s="1284" t="s">
        <v>59</v>
      </c>
      <c r="AH15" s="1285"/>
      <c r="AI15" s="1284" t="s">
        <v>59</v>
      </c>
    </row>
    <row r="16" spans="1:42" ht="14.25" hidden="1" customHeight="1">
      <c r="AC16" s="376"/>
      <c r="AD16" s="376"/>
      <c r="AE16" s="198" t="str">
        <f>AF15&amp;"-"&amp;AH15</f>
        <v>-</v>
      </c>
      <c r="AF16" s="1284"/>
      <c r="AG16" s="1284"/>
      <c r="AH16" s="1284"/>
      <c r="AI16" s="1284"/>
    </row>
    <row r="17" spans="1:42" ht="14.25" hidden="1" customHeight="1"/>
    <row r="18" spans="1:42" s="60" customFormat="1" ht="22.5" hidden="1" customHeight="1">
      <c r="L18" s="312"/>
      <c r="M18" s="519"/>
      <c r="N18" s="519"/>
      <c r="O18" s="795" t="s">
        <v>488</v>
      </c>
      <c r="P18" s="519"/>
      <c r="Q18" s="796"/>
      <c r="R18" s="796"/>
      <c r="S18" s="433"/>
      <c r="Y18" s="795"/>
      <c r="AA18" s="795"/>
      <c r="AF18" s="795"/>
      <c r="AH18" s="795"/>
      <c r="AL18" s="65"/>
      <c r="AM18" s="65"/>
      <c r="AN18" s="65"/>
      <c r="AO18" s="65"/>
      <c r="AP18" s="65"/>
    </row>
    <row r="19" spans="1:42" s="60" customFormat="1" ht="14.25" hidden="1" customHeight="1">
      <c r="L19" s="312"/>
      <c r="M19" s="519"/>
      <c r="N19" s="519"/>
      <c r="O19" s="519"/>
      <c r="P19" s="519"/>
      <c r="Q19" s="796"/>
      <c r="R19" s="796"/>
      <c r="S19" s="433"/>
      <c r="AL19" s="65"/>
      <c r="AM19" s="65"/>
      <c r="AN19" s="65"/>
      <c r="AO19" s="65"/>
      <c r="AP19" s="65"/>
    </row>
    <row r="20" spans="1:42" s="60" customFormat="1" ht="12" hidden="1" customHeight="1">
      <c r="L20" s="312"/>
      <c r="M20" s="519"/>
      <c r="N20" s="519"/>
      <c r="O20" s="794" t="s">
        <v>489</v>
      </c>
      <c r="P20" s="519"/>
      <c r="Q20" s="839"/>
      <c r="R20" s="839"/>
      <c r="S20" s="433"/>
      <c r="T20" s="60" t="s">
        <v>490</v>
      </c>
      <c r="Z20" s="79" t="s">
        <v>491</v>
      </c>
      <c r="AB20" s="79" t="s">
        <v>492</v>
      </c>
      <c r="AC20" s="60" t="s">
        <v>490</v>
      </c>
      <c r="AG20" s="79" t="s">
        <v>493</v>
      </c>
      <c r="AI20" s="79" t="s">
        <v>492</v>
      </c>
    </row>
    <row r="21" spans="1:42" ht="14.25" hidden="1" customHeight="1">
      <c r="O21" s="794"/>
    </row>
    <row r="22" spans="1:42" ht="14.25" hidden="1" customHeight="1">
      <c r="O22" s="794"/>
    </row>
    <row r="23" spans="1:42" ht="14.25" customHeight="1">
      <c r="Q23" s="27"/>
      <c r="R23" s="27"/>
      <c r="S23" s="764"/>
      <c r="T23" s="8"/>
      <c r="U23" s="8"/>
    </row>
    <row r="24" spans="1:42" ht="32.25" customHeight="1">
      <c r="Q24" s="27"/>
      <c r="R24" s="27"/>
      <c r="S24" s="1312"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1312"/>
      <c r="U24" s="1312"/>
      <c r="V24" s="1312"/>
      <c r="W24" s="1312"/>
      <c r="X24" s="1312"/>
      <c r="Y24" s="1312"/>
      <c r="Z24" s="1312"/>
      <c r="AA24" s="1312"/>
      <c r="AB24" s="1312"/>
      <c r="AC24" s="1312"/>
      <c r="AD24" s="1312"/>
      <c r="AE24" s="1312"/>
      <c r="AF24" s="1312"/>
      <c r="AG24" s="1312"/>
      <c r="AH24" s="1312"/>
      <c r="AI24" s="57"/>
    </row>
    <row r="25" spans="1:42" ht="14.25" customHeight="1">
      <c r="Q25" s="27"/>
      <c r="R25" s="27"/>
      <c r="S25" s="1178" t="str">
        <f>IF(org=0,"Не определено",org)</f>
        <v>ООО "Концессионная Коммунальная Компания"</v>
      </c>
      <c r="T25" s="1178"/>
      <c r="U25" s="1178"/>
      <c r="V25" s="1178"/>
      <c r="W25" s="1178"/>
      <c r="X25" s="1178"/>
      <c r="Y25" s="1178"/>
      <c r="Z25" s="1178"/>
      <c r="AA25" s="1178"/>
      <c r="AB25" s="1178"/>
      <c r="AC25" s="1178"/>
      <c r="AD25" s="1178"/>
      <c r="AE25" s="1178"/>
      <c r="AF25" s="1178"/>
      <c r="AG25" s="1178"/>
      <c r="AH25" s="1178"/>
      <c r="AI25" s="57"/>
    </row>
    <row r="26" spans="1:42" ht="14.25" hidden="1" customHeight="1">
      <c r="Q26" s="27"/>
      <c r="R26" s="27"/>
      <c r="S26" s="764"/>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4"/>
      <c r="M27" s="79"/>
      <c r="N27" s="79"/>
      <c r="O27" s="79"/>
      <c r="S27" s="1278" t="s">
        <v>40</v>
      </c>
      <c r="T27" s="1278"/>
      <c r="U27" s="797"/>
      <c r="V27" s="1280" t="str">
        <f>IF(TITLE_NAME_OR_PR_CHANGE="",IF(TITLE_NAME_OR_PR="","",TITLE_NAME_OR_PR),TITLE_NAME_OR_PR_CHANGE)</f>
        <v/>
      </c>
      <c r="W27" s="1280"/>
      <c r="X27" s="1280"/>
      <c r="Y27" s="1280"/>
      <c r="Z27" s="1280"/>
      <c r="AA27" s="1280"/>
      <c r="AB27" s="9"/>
      <c r="AC27" s="1280" t="str">
        <f>IF(TITLE_NAME_OR_PR_CHANGE="",IF(TITLE_NAME_OR_PR="","",TITLE_NAME_OR_PR),TITLE_NAME_OR_PR_CHANGE)</f>
        <v/>
      </c>
      <c r="AD27" s="1280"/>
      <c r="AE27" s="1280"/>
      <c r="AF27" s="1280"/>
      <c r="AG27" s="1280"/>
      <c r="AH27" s="1280"/>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4"/>
      <c r="M28" s="79"/>
      <c r="N28" s="79"/>
      <c r="O28" s="79"/>
      <c r="S28" s="1278" t="s">
        <v>494</v>
      </c>
      <c r="T28" s="1278"/>
      <c r="U28" s="797"/>
      <c r="V28" s="1279" t="str">
        <f>IF(TITLE_DATE_CHANGE_PERIOD="",IF(TITLE_DATE_PR="","",TITLE_DATE_PR),TITLE_DATE_CHANGE_PERIOD)</f>
        <v/>
      </c>
      <c r="W28" s="1279"/>
      <c r="X28" s="1279"/>
      <c r="Y28" s="1279"/>
      <c r="Z28" s="1279"/>
      <c r="AA28" s="1279"/>
      <c r="AB28" s="9"/>
      <c r="AC28" s="1279" t="str">
        <f>IF(TITLE_DATE_CHANGE_PERIOD="",IF(TITLE_DATE_PR="","",TITLE_DATE_PR),TITLE_DATE_CHANGE_PERIOD)</f>
        <v/>
      </c>
      <c r="AD28" s="1279"/>
      <c r="AE28" s="1279"/>
      <c r="AF28" s="1279"/>
      <c r="AG28" s="1279"/>
      <c r="AH28" s="1279"/>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4"/>
      <c r="M29" s="79"/>
      <c r="N29" s="79"/>
      <c r="O29" s="79"/>
      <c r="S29" s="1278" t="s">
        <v>495</v>
      </c>
      <c r="T29" s="1278"/>
      <c r="U29" s="797"/>
      <c r="V29" s="1280" t="str">
        <f>IF(TITLE_NUMBER_PR_CHANGE="",IF(TITLE_NUMBER_PR="","",TITLE_NUMBER_PR),TITLE_NUMBER_PR_CHANGE)</f>
        <v/>
      </c>
      <c r="W29" s="1280"/>
      <c r="X29" s="1280"/>
      <c r="Y29" s="1280"/>
      <c r="Z29" s="1280"/>
      <c r="AA29" s="1280"/>
      <c r="AB29" s="9"/>
      <c r="AC29" s="1280" t="str">
        <f>IF(TITLE_NUMBER_PR_CHANGE="",IF(TITLE_NUMBER_PR="","",TITLE_NUMBER_PR),TITLE_NUMBER_PR_CHANGE)</f>
        <v/>
      </c>
      <c r="AD29" s="1280"/>
      <c r="AE29" s="1280"/>
      <c r="AF29" s="1280"/>
      <c r="AG29" s="1280"/>
      <c r="AH29" s="1280"/>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4"/>
      <c r="M30" s="79"/>
      <c r="N30" s="79"/>
      <c r="O30" s="79"/>
      <c r="S30" s="1278" t="s">
        <v>41</v>
      </c>
      <c r="T30" s="1278"/>
      <c r="U30" s="797"/>
      <c r="V30" s="1280" t="str">
        <f>IF(TITLE_IST_PUB_CHANGE="",IF(TITLE_IST_PUB="","",TITLE_IST_PUB),TITLE_IST_PUB_CHANGE)</f>
        <v/>
      </c>
      <c r="W30" s="1280"/>
      <c r="X30" s="1280"/>
      <c r="Y30" s="1280"/>
      <c r="Z30" s="1280"/>
      <c r="AA30" s="1280"/>
      <c r="AB30" s="9"/>
      <c r="AC30" s="1280" t="str">
        <f>IF(TITLE_IST_PUB_CHANGE="",IF(TITLE_IST_PUB="","",TITLE_IST_PUB),TITLE_IST_PUB_CHANGE)</f>
        <v/>
      </c>
      <c r="AD30" s="1280"/>
      <c r="AE30" s="1280"/>
      <c r="AF30" s="1280"/>
      <c r="AG30" s="1280"/>
      <c r="AH30" s="1280"/>
      <c r="AI30" s="9"/>
      <c r="AJ30" s="9"/>
      <c r="AK30" s="162"/>
      <c r="AL30" s="66"/>
      <c r="AM30" s="66"/>
      <c r="AN30" s="66"/>
      <c r="AO30" s="66"/>
      <c r="AP30" s="66"/>
    </row>
    <row r="31" spans="1:42" ht="14.25" hidden="1" customHeight="1">
      <c r="Q31" s="27"/>
      <c r="R31" s="27"/>
      <c r="S31" s="764"/>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4"/>
      <c r="M32" s="79"/>
      <c r="N32" s="79"/>
      <c r="O32" s="79"/>
      <c r="S32" s="1278" t="s">
        <v>496</v>
      </c>
      <c r="T32" s="1278"/>
      <c r="U32" s="797"/>
      <c r="V32" s="1279" t="str">
        <f>IF(TITLE_DATE_CHANGE_PERIOD="",IF(TITLE_DATE_PR="","",TITLE_DATE_PR),TITLE_DATE_CHANGE_PERIOD)</f>
        <v/>
      </c>
      <c r="W32" s="1279"/>
      <c r="X32" s="1279"/>
      <c r="Y32" s="1279"/>
      <c r="Z32" s="1279"/>
      <c r="AA32" s="1279"/>
      <c r="AB32" s="9"/>
      <c r="AC32" s="1279" t="str">
        <f>IF(TITLE_DATE_CHANGE_PERIOD="",IF(TITLE_DATE_PR="","",TITLE_DATE_PR),TITLE_DATE_CHANGE_PERIOD)</f>
        <v/>
      </c>
      <c r="AD32" s="1279"/>
      <c r="AE32" s="1279"/>
      <c r="AF32" s="1279"/>
      <c r="AG32" s="1279"/>
      <c r="AH32" s="1279"/>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4"/>
      <c r="M33" s="79"/>
      <c r="N33" s="79"/>
      <c r="O33" s="79"/>
      <c r="S33" s="1278" t="s">
        <v>497</v>
      </c>
      <c r="T33" s="1278"/>
      <c r="U33" s="797"/>
      <c r="V33" s="1280" t="str">
        <f>IF(TITLE_NUMBER_PR_CHANGE="",IF(TITLE_NUMBER_PR="","",TITLE_NUMBER_PR),TITLE_NUMBER_PR_CHANGE)</f>
        <v/>
      </c>
      <c r="W33" s="1280"/>
      <c r="X33" s="1280"/>
      <c r="Y33" s="1280"/>
      <c r="Z33" s="1280"/>
      <c r="AA33" s="1280"/>
      <c r="AB33" s="9"/>
      <c r="AC33" s="1280" t="str">
        <f>IF(TITLE_NUMBER_PR_CHANGE="",IF(TITLE_NUMBER_PR="","",TITLE_NUMBER_PR),TITLE_NUMBER_PR_CHANGE)</f>
        <v/>
      </c>
      <c r="AD33" s="1280"/>
      <c r="AE33" s="1280"/>
      <c r="AF33" s="1280"/>
      <c r="AG33" s="1280"/>
      <c r="AH33" s="1280"/>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4"/>
      <c r="M34" s="79"/>
      <c r="N34" s="79"/>
      <c r="O34" s="79"/>
      <c r="S34" s="9"/>
      <c r="T34" s="9"/>
      <c r="U34" s="75"/>
      <c r="V34" s="9"/>
      <c r="W34" s="9"/>
      <c r="X34" s="9"/>
      <c r="Y34" s="9"/>
      <c r="Z34" s="9"/>
      <c r="AA34" s="9"/>
      <c r="AB34" s="65" t="s">
        <v>498</v>
      </c>
      <c r="AC34" s="9"/>
      <c r="AD34" s="9"/>
      <c r="AE34" s="9"/>
      <c r="AF34" s="9"/>
      <c r="AG34" s="9"/>
      <c r="AH34" s="9"/>
      <c r="AI34" s="65" t="s">
        <v>498</v>
      </c>
      <c r="AL34" s="66"/>
      <c r="AM34" s="66"/>
      <c r="AN34" s="66"/>
      <c r="AO34" s="66"/>
      <c r="AP34" s="66"/>
    </row>
    <row r="35" spans="1:42" ht="14.25" customHeight="1">
      <c r="Q35" s="27"/>
      <c r="R35" s="27"/>
      <c r="S35" s="764"/>
      <c r="T35" s="8"/>
      <c r="U35" s="736"/>
      <c r="V35" s="1298"/>
      <c r="W35" s="1298"/>
      <c r="X35" s="1298"/>
      <c r="Y35" s="1298"/>
      <c r="Z35" s="1298"/>
      <c r="AA35" s="1298"/>
      <c r="AB35" s="1298"/>
      <c r="AC35" s="1298"/>
      <c r="AD35" s="1298"/>
      <c r="AE35" s="1298"/>
      <c r="AF35" s="1298"/>
      <c r="AG35" s="1298"/>
      <c r="AH35" s="1298"/>
      <c r="AI35" s="1298"/>
    </row>
    <row r="36" spans="1:42" ht="14.25" customHeight="1">
      <c r="Q36" s="27"/>
      <c r="R36" s="27"/>
      <c r="S36" s="1082" t="s">
        <v>302</v>
      </c>
      <c r="T36" s="1082"/>
      <c r="U36" s="1082"/>
      <c r="V36" s="1082"/>
      <c r="W36" s="1082"/>
      <c r="X36" s="1082"/>
      <c r="Y36" s="1082"/>
      <c r="Z36" s="1082"/>
      <c r="AA36" s="1082"/>
      <c r="AB36" s="1082"/>
      <c r="AC36" s="1082"/>
      <c r="AD36" s="1082"/>
      <c r="AE36" s="1082"/>
      <c r="AF36" s="1082"/>
      <c r="AG36" s="1082"/>
      <c r="AH36" s="1082"/>
      <c r="AI36" s="1082"/>
      <c r="AJ36" s="1082"/>
      <c r="AK36" s="1082" t="s">
        <v>303</v>
      </c>
    </row>
    <row r="37" spans="1:42" ht="14.25" customHeight="1">
      <c r="Q37" s="27"/>
      <c r="R37" s="27"/>
      <c r="S37" s="1299" t="s">
        <v>88</v>
      </c>
      <c r="T37" s="1176" t="s">
        <v>499</v>
      </c>
      <c r="U37" s="171"/>
      <c r="V37" s="1300" t="s">
        <v>500</v>
      </c>
      <c r="W37" s="1301"/>
      <c r="X37" s="1301"/>
      <c r="Y37" s="1301"/>
      <c r="Z37" s="1301"/>
      <c r="AA37" s="1302"/>
      <c r="AB37" s="1303" t="s">
        <v>501</v>
      </c>
      <c r="AC37" s="1300" t="s">
        <v>500</v>
      </c>
      <c r="AD37" s="1301"/>
      <c r="AE37" s="1301"/>
      <c r="AF37" s="1301"/>
      <c r="AG37" s="1301"/>
      <c r="AH37" s="1302"/>
      <c r="AI37" s="1303" t="s">
        <v>502</v>
      </c>
      <c r="AJ37" s="1306" t="s">
        <v>503</v>
      </c>
      <c r="AK37" s="1082"/>
    </row>
    <row r="38" spans="1:42" ht="33.75" customHeight="1">
      <c r="Q38" s="27"/>
      <c r="R38" s="27"/>
      <c r="S38" s="1299"/>
      <c r="T38" s="1176"/>
      <c r="U38" s="621"/>
      <c r="V38" s="349" t="s">
        <v>2067</v>
      </c>
      <c r="W38" s="1063" t="s">
        <v>2068</v>
      </c>
      <c r="X38" s="1062"/>
      <c r="Y38" s="1063" t="s">
        <v>507</v>
      </c>
      <c r="Z38" s="1068"/>
      <c r="AA38" s="1062"/>
      <c r="AB38" s="1304"/>
      <c r="AC38" s="349" t="s">
        <v>2067</v>
      </c>
      <c r="AD38" s="1063" t="s">
        <v>2068</v>
      </c>
      <c r="AE38" s="1062"/>
      <c r="AF38" s="1063" t="s">
        <v>507</v>
      </c>
      <c r="AG38" s="1068"/>
      <c r="AH38" s="1062"/>
      <c r="AI38" s="1304"/>
      <c r="AJ38" s="1307"/>
      <c r="AK38" s="1082"/>
    </row>
    <row r="39" spans="1:42" ht="86.25" customHeight="1">
      <c r="A39" s="79"/>
      <c r="B39" s="79" t="s">
        <v>151</v>
      </c>
      <c r="C39" s="79" t="s">
        <v>152</v>
      </c>
      <c r="D39" s="79" t="s">
        <v>153</v>
      </c>
      <c r="E39" s="794" t="s">
        <v>508</v>
      </c>
      <c r="F39" s="794" t="s">
        <v>509</v>
      </c>
      <c r="G39" s="794" t="s">
        <v>510</v>
      </c>
      <c r="H39" s="794"/>
      <c r="I39" s="794" t="s">
        <v>1694</v>
      </c>
      <c r="J39" s="794" t="s">
        <v>513</v>
      </c>
      <c r="K39" s="794" t="s">
        <v>1695</v>
      </c>
      <c r="L39" s="794" t="s">
        <v>489</v>
      </c>
      <c r="Q39" s="27"/>
      <c r="R39" s="27"/>
      <c r="S39" s="1299"/>
      <c r="T39" s="1176"/>
      <c r="U39" s="172"/>
      <c r="V39" s="349" t="s">
        <v>2069</v>
      </c>
      <c r="W39" s="37" t="s">
        <v>2070</v>
      </c>
      <c r="X39" s="37" t="s">
        <v>2071</v>
      </c>
      <c r="Y39" s="37" t="s">
        <v>517</v>
      </c>
      <c r="Z39" s="1182" t="s">
        <v>518</v>
      </c>
      <c r="AA39" s="1195"/>
      <c r="AB39" s="1305"/>
      <c r="AC39" s="349" t="s">
        <v>2069</v>
      </c>
      <c r="AD39" s="37" t="s">
        <v>2070</v>
      </c>
      <c r="AE39" s="37" t="s">
        <v>2071</v>
      </c>
      <c r="AF39" s="37" t="s">
        <v>517</v>
      </c>
      <c r="AG39" s="1182" t="s">
        <v>518</v>
      </c>
      <c r="AH39" s="1195"/>
      <c r="AI39" s="1305"/>
      <c r="AJ39" s="1308"/>
      <c r="AK39" s="1082"/>
    </row>
    <row r="40" spans="1:42" s="209" customFormat="1" ht="11.25" hidden="1" customHeight="1">
      <c r="A40" s="79"/>
      <c r="B40" s="79"/>
      <c r="C40" s="79"/>
      <c r="D40" s="79"/>
      <c r="E40" s="79"/>
      <c r="F40" s="79"/>
      <c r="G40" s="79"/>
      <c r="H40" s="79"/>
      <c r="I40" s="79"/>
      <c r="J40" s="79"/>
      <c r="K40" s="79"/>
      <c r="L40" s="794"/>
      <c r="M40" s="519"/>
      <c r="N40" s="519"/>
      <c r="O40" s="519"/>
      <c r="P40" s="738"/>
      <c r="Q40" s="739"/>
      <c r="R40" s="747">
        <v>1</v>
      </c>
      <c r="S40" s="766" t="s">
        <v>119</v>
      </c>
      <c r="T40" s="748" t="s">
        <v>103</v>
      </c>
      <c r="U40" s="737" t="str">
        <f ca="1">OFFSET(U40,0,-1)</f>
        <v>2</v>
      </c>
      <c r="V40" s="749">
        <f ca="1">OFFSET(V40,0,-1)+1</f>
        <v>3</v>
      </c>
      <c r="W40" s="749">
        <f ca="1">OFFSET(W40,0,-1)+1</f>
        <v>4</v>
      </c>
      <c r="X40" s="749">
        <f ca="1">OFFSET(X40,0,-1)+1</f>
        <v>5</v>
      </c>
      <c r="Y40" s="749">
        <f ca="1">OFFSET(Y40,0,-1)+1</f>
        <v>6</v>
      </c>
      <c r="Z40" s="1297">
        <f ca="1">OFFSET(Z40,0,-1)+1</f>
        <v>7</v>
      </c>
      <c r="AA40" s="1297"/>
      <c r="AB40" s="749">
        <f ca="1">OFFSET(AB40,0,-2)+1</f>
        <v>8</v>
      </c>
      <c r="AC40" s="749">
        <f ca="1">OFFSET(AC40,0,-1)+1</f>
        <v>9</v>
      </c>
      <c r="AD40" s="749">
        <f ca="1">OFFSET(AD40,0,-1)+1</f>
        <v>10</v>
      </c>
      <c r="AE40" s="749">
        <f ca="1">OFFSET(AE40,0,-1)+1</f>
        <v>11</v>
      </c>
      <c r="AF40" s="749">
        <f ca="1">OFFSET(AF40,0,-1)+1</f>
        <v>12</v>
      </c>
      <c r="AG40" s="1297">
        <f ca="1">OFFSET(AG40,0,-1)+1</f>
        <v>13</v>
      </c>
      <c r="AH40" s="1297"/>
      <c r="AI40" s="749">
        <f ca="1">OFFSET(AI40,0,-2)+1</f>
        <v>14</v>
      </c>
      <c r="AJ40" s="737">
        <f ca="1">OFFSET(AJ40,0,-1)</f>
        <v>14</v>
      </c>
      <c r="AK40" s="749">
        <f ca="1">OFFSET(AK40,0,-1)+1</f>
        <v>15</v>
      </c>
      <c r="AL40" s="65"/>
      <c r="AM40" s="65"/>
      <c r="AN40" s="65"/>
      <c r="AO40" s="65"/>
      <c r="AP40" s="65"/>
    </row>
    <row r="41" spans="1:42" ht="23.25" customHeight="1">
      <c r="A41" s="793" t="s">
        <v>253</v>
      </c>
      <c r="B41" s="793"/>
      <c r="C41" s="793"/>
      <c r="D41" s="793"/>
      <c r="E41" s="1287">
        <v>1</v>
      </c>
      <c r="F41" s="793"/>
      <c r="G41" s="793"/>
      <c r="H41" s="793"/>
      <c r="I41" s="793"/>
      <c r="J41" s="793"/>
      <c r="K41" s="793"/>
      <c r="L41" s="794"/>
      <c r="M41" s="433"/>
      <c r="N41" s="433"/>
      <c r="O41" s="433"/>
      <c r="Q41" s="2"/>
      <c r="R41" s="213"/>
      <c r="S41" s="725">
        <f>INDEX(PT_DIFFERENTIATION_NUM_NTAR,MATCH(A41,PT_DIFFERENTIATION_NTAR_ID,0))</f>
        <v>0</v>
      </c>
      <c r="T41" s="64" t="s">
        <v>139</v>
      </c>
      <c r="U41" s="170"/>
      <c r="V41" s="1281"/>
      <c r="W41" s="1282"/>
      <c r="X41" s="1282"/>
      <c r="Y41" s="1282"/>
      <c r="Z41" s="1282"/>
      <c r="AA41" s="1282"/>
      <c r="AB41" s="1283"/>
      <c r="AC41" s="1281" t="str">
        <f>INDEX(PT_DIFFERENTIATION_NTAR,MATCH(A41,PT_DIFFERENTIATION_NTAR_ID,0))</f>
        <v/>
      </c>
      <c r="AD41" s="1282"/>
      <c r="AE41" s="1282"/>
      <c r="AF41" s="1282"/>
      <c r="AG41" s="1282"/>
      <c r="AH41" s="1282"/>
      <c r="AI41" s="1282"/>
      <c r="AJ41" s="1283"/>
      <c r="AK41" s="7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3" t="s">
        <v>253</v>
      </c>
      <c r="B42" s="793" t="s">
        <v>254</v>
      </c>
      <c r="C42" s="793"/>
      <c r="D42" s="793"/>
      <c r="E42" s="1288"/>
      <c r="F42" s="1287">
        <v>1</v>
      </c>
      <c r="G42" s="793"/>
      <c r="H42" s="793"/>
      <c r="I42" s="793"/>
      <c r="J42" s="793"/>
      <c r="K42" s="793"/>
      <c r="L42" s="794"/>
      <c r="M42" s="433"/>
      <c r="N42" s="433"/>
      <c r="O42" s="433"/>
      <c r="P42" s="56"/>
      <c r="Q42" s="210"/>
      <c r="R42" s="211"/>
      <c r="S42" s="725" t="str">
        <f>INDEX(PT_DIFFERENTIATION_NUM_TER,MATCH(B42,PT_DIFFERENTIATION_TER_ID,0))</f>
        <v>.</v>
      </c>
      <c r="T42" s="178" t="s">
        <v>471</v>
      </c>
      <c r="U42" s="170"/>
      <c r="V42" s="1281"/>
      <c r="W42" s="1282"/>
      <c r="X42" s="1282"/>
      <c r="Y42" s="1282"/>
      <c r="Z42" s="1282"/>
      <c r="AA42" s="1282"/>
      <c r="AB42" s="1283"/>
      <c r="AC42" s="1281" t="str">
        <f>INDEX(PT_DIFFERENTIATION_TER,MATCH(B42,PT_DIFFERENTIATION_TER_ID,0))</f>
        <v/>
      </c>
      <c r="AD42" s="1282"/>
      <c r="AE42" s="1282"/>
      <c r="AF42" s="1282"/>
      <c r="AG42" s="1282"/>
      <c r="AH42" s="1282"/>
      <c r="AI42" s="1282"/>
      <c r="AJ42" s="1283"/>
      <c r="AK42" s="753" t="s">
        <v>472</v>
      </c>
      <c r="AM42" s="66"/>
      <c r="AN42" s="66" t="str">
        <f t="shared" si="1"/>
        <v>Территория действия тарифа</v>
      </c>
      <c r="AO42" s="66"/>
      <c r="AP42" s="66"/>
    </row>
    <row r="43" spans="1:42" ht="23.25" customHeight="1">
      <c r="A43" s="793" t="s">
        <v>253</v>
      </c>
      <c r="B43" s="793" t="s">
        <v>254</v>
      </c>
      <c r="C43" s="793" t="s">
        <v>255</v>
      </c>
      <c r="D43" s="793"/>
      <c r="E43" s="1288"/>
      <c r="F43" s="1288"/>
      <c r="G43" s="1287">
        <v>1</v>
      </c>
      <c r="H43" s="793"/>
      <c r="I43" s="793"/>
      <c r="J43" s="793"/>
      <c r="K43" s="793"/>
      <c r="L43" s="794"/>
      <c r="M43" s="433"/>
      <c r="N43" s="433"/>
      <c r="O43" s="433"/>
      <c r="P43" s="212"/>
      <c r="Q43" s="210"/>
      <c r="R43" s="211"/>
      <c r="S43" s="725" t="str">
        <f>INDEX(PT_DIFFERENTIATION_NUM_CS,MATCH(C43,PT_DIFFERENTIATION_CS_ID,0))</f>
        <v>..</v>
      </c>
      <c r="T43" s="179" t="s">
        <v>2065</v>
      </c>
      <c r="U43" s="170"/>
      <c r="V43" s="1281"/>
      <c r="W43" s="1282"/>
      <c r="X43" s="1282"/>
      <c r="Y43" s="1282"/>
      <c r="Z43" s="1282"/>
      <c r="AA43" s="1282"/>
      <c r="AB43" s="1283"/>
      <c r="AC43" s="1281" t="str">
        <f>INDEX(PT_DIFFERENTIATION_CS,MATCH(C43,PT_DIFFERENTIATION_CS_ID,0))</f>
        <v/>
      </c>
      <c r="AD43" s="1282"/>
      <c r="AE43" s="1282"/>
      <c r="AF43" s="1282"/>
      <c r="AG43" s="1282"/>
      <c r="AH43" s="1282"/>
      <c r="AI43" s="1282"/>
      <c r="AJ43" s="1283"/>
      <c r="AK43" s="753" t="s">
        <v>2066</v>
      </c>
      <c r="AM43" s="66"/>
      <c r="AN43" s="66" t="str">
        <f t="shared" si="1"/>
        <v>Наименование централизованной системы горячего водоснабжения</v>
      </c>
      <c r="AO43" s="66"/>
      <c r="AP43" s="66"/>
    </row>
    <row r="44" spans="1:42" ht="23.25" customHeight="1">
      <c r="A44" s="793" t="s">
        <v>253</v>
      </c>
      <c r="B44" s="793" t="s">
        <v>254</v>
      </c>
      <c r="C44" s="793" t="s">
        <v>255</v>
      </c>
      <c r="D44" s="793" t="s">
        <v>2072</v>
      </c>
      <c r="E44" s="1288"/>
      <c r="F44" s="1288"/>
      <c r="G44" s="1288"/>
      <c r="H44" s="1288"/>
      <c r="I44" s="1289" t="str">
        <f>S43&amp;".1"</f>
        <v>...1</v>
      </c>
      <c r="J44" s="793"/>
      <c r="K44" s="793"/>
      <c r="L44" s="794"/>
      <c r="P44" s="1211">
        <v>1</v>
      </c>
      <c r="Q44" s="119"/>
      <c r="R44" s="214"/>
      <c r="S44" s="725" t="str">
        <f>$I44</f>
        <v>...1</v>
      </c>
      <c r="T44" s="163" t="s">
        <v>1687</v>
      </c>
      <c r="U44" s="170"/>
      <c r="V44" s="1387"/>
      <c r="W44" s="1388"/>
      <c r="X44" s="1388"/>
      <c r="Y44" s="1388"/>
      <c r="Z44" s="1388"/>
      <c r="AA44" s="1388"/>
      <c r="AB44" s="1389"/>
      <c r="AC44" s="1390"/>
      <c r="AD44" s="1391"/>
      <c r="AE44" s="1391"/>
      <c r="AF44" s="1391"/>
      <c r="AG44" s="1391"/>
      <c r="AH44" s="1391"/>
      <c r="AI44" s="1391"/>
      <c r="AJ44" s="1392"/>
      <c r="AK44" s="753" t="s">
        <v>1688</v>
      </c>
      <c r="AM44" s="66"/>
      <c r="AN44" s="66" t="str">
        <f t="shared" si="1"/>
        <v>Наименование признака дифференциации</v>
      </c>
      <c r="AO44" s="66"/>
      <c r="AP44" s="66"/>
    </row>
    <row r="45" spans="1:42" ht="23.25" customHeight="1">
      <c r="A45" s="793" t="s">
        <v>253</v>
      </c>
      <c r="B45" s="793" t="s">
        <v>254</v>
      </c>
      <c r="C45" s="793" t="s">
        <v>255</v>
      </c>
      <c r="D45" s="793" t="s">
        <v>2072</v>
      </c>
      <c r="E45" s="1288"/>
      <c r="F45" s="1288"/>
      <c r="G45" s="1288"/>
      <c r="H45" s="1288"/>
      <c r="I45" s="1290"/>
      <c r="J45" s="1289" t="str">
        <f>I44&amp;".1"</f>
        <v>...1.1</v>
      </c>
      <c r="K45" s="793"/>
      <c r="L45" s="794" t="s">
        <v>480</v>
      </c>
      <c r="P45" s="1211"/>
      <c r="Q45" s="1211">
        <v>1</v>
      </c>
      <c r="R45" s="215"/>
      <c r="S45" s="725" t="str">
        <f>$J45</f>
        <v>...1.1</v>
      </c>
      <c r="T45" s="164" t="s">
        <v>481</v>
      </c>
      <c r="U45" s="170"/>
      <c r="V45" s="1275"/>
      <c r="W45" s="1276"/>
      <c r="X45" s="1276"/>
      <c r="Y45" s="1276"/>
      <c r="Z45" s="1276"/>
      <c r="AA45" s="1276"/>
      <c r="AB45" s="1277"/>
      <c r="AC45" s="1275"/>
      <c r="AD45" s="1276"/>
      <c r="AE45" s="1276"/>
      <c r="AF45" s="1276"/>
      <c r="AG45" s="1276"/>
      <c r="AH45" s="1276"/>
      <c r="AI45" s="1276"/>
      <c r="AJ45" s="1277"/>
      <c r="AK45" s="778" t="s">
        <v>1689</v>
      </c>
      <c r="AM45" s="66"/>
      <c r="AN45" s="66" t="str">
        <f t="shared" si="1"/>
        <v>Группа потребителей</v>
      </c>
      <c r="AO45" s="66"/>
      <c r="AP45" s="66"/>
    </row>
    <row r="46" spans="1:42" ht="23.25" customHeight="1">
      <c r="A46" s="793" t="s">
        <v>253</v>
      </c>
      <c r="B46" s="793" t="s">
        <v>254</v>
      </c>
      <c r="C46" s="793" t="s">
        <v>255</v>
      </c>
      <c r="D46" s="793" t="s">
        <v>2072</v>
      </c>
      <c r="E46" s="1288"/>
      <c r="F46" s="1288"/>
      <c r="G46" s="1288"/>
      <c r="H46" s="1288"/>
      <c r="I46" s="1290"/>
      <c r="J46" s="1290"/>
      <c r="K46" s="1289" t="str">
        <f>J45&amp;".1"</f>
        <v>...1.1.1</v>
      </c>
      <c r="L46" s="794"/>
      <c r="P46" s="1211"/>
      <c r="Q46" s="1211"/>
      <c r="R46" s="215">
        <v>1</v>
      </c>
      <c r="S46" s="725" t="str">
        <f>$K46</f>
        <v>...1.1.1</v>
      </c>
      <c r="T46" s="836"/>
      <c r="U46" s="170"/>
      <c r="V46" s="376"/>
      <c r="W46" s="376"/>
      <c r="X46" s="792"/>
      <c r="Y46" s="1285"/>
      <c r="Z46" s="1284" t="s">
        <v>59</v>
      </c>
      <c r="AA46" s="1285"/>
      <c r="AB46" s="1284" t="s">
        <v>59</v>
      </c>
      <c r="AC46" s="317"/>
      <c r="AD46" s="317"/>
      <c r="AE46" s="752"/>
      <c r="AF46" s="1291"/>
      <c r="AG46" s="1092" t="s">
        <v>59</v>
      </c>
      <c r="AH46" s="1293"/>
      <c r="AI46" s="1092" t="s">
        <v>57</v>
      </c>
      <c r="AJ46" s="837"/>
      <c r="AK46"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3" t="s">
        <v>253</v>
      </c>
      <c r="B47" s="793" t="s">
        <v>254</v>
      </c>
      <c r="C47" s="793" t="s">
        <v>255</v>
      </c>
      <c r="D47" s="793" t="s">
        <v>2072</v>
      </c>
      <c r="E47" s="1288"/>
      <c r="F47" s="1288"/>
      <c r="G47" s="1288"/>
      <c r="H47" s="1288"/>
      <c r="I47" s="1290"/>
      <c r="J47" s="1290"/>
      <c r="K47" s="1289"/>
      <c r="L47" s="794"/>
      <c r="P47" s="1211"/>
      <c r="Q47" s="1211"/>
      <c r="R47" s="215"/>
      <c r="S47" s="62"/>
      <c r="T47" s="170"/>
      <c r="U47" s="170"/>
      <c r="V47" s="376"/>
      <c r="W47" s="376"/>
      <c r="X47" s="198" t="str">
        <f>Y46&amp;"-"&amp;AA46</f>
        <v>-</v>
      </c>
      <c r="Y47" s="1284"/>
      <c r="Z47" s="1284"/>
      <c r="AA47" s="1284"/>
      <c r="AB47" s="1284"/>
      <c r="AC47" s="196"/>
      <c r="AD47" s="196"/>
      <c r="AE47" s="198" t="str">
        <f>AF46&amp;"-"&amp;AH46</f>
        <v>-</v>
      </c>
      <c r="AF47" s="1292"/>
      <c r="AG47" s="1092"/>
      <c r="AH47" s="1294"/>
      <c r="AI47" s="1092"/>
      <c r="AJ47" s="396"/>
      <c r="AK47" s="1393"/>
      <c r="AM47" s="66"/>
      <c r="AN47" s="66" t="str">
        <f t="shared" si="1"/>
        <v/>
      </c>
      <c r="AO47" s="66"/>
      <c r="AP47" s="66"/>
    </row>
    <row r="48" spans="1:42" ht="21" customHeight="1">
      <c r="A48" s="793" t="s">
        <v>253</v>
      </c>
      <c r="B48" s="793" t="s">
        <v>254</v>
      </c>
      <c r="C48" s="793" t="s">
        <v>255</v>
      </c>
      <c r="D48" s="793" t="s">
        <v>2072</v>
      </c>
      <c r="E48" s="1288"/>
      <c r="F48" s="1288"/>
      <c r="G48" s="1288"/>
      <c r="H48" s="1288"/>
      <c r="I48" s="1290"/>
      <c r="J48" s="1289"/>
      <c r="K48" s="793"/>
      <c r="L48" s="794"/>
      <c r="P48" s="1211"/>
      <c r="Q48" s="1211"/>
      <c r="R48" s="214"/>
      <c r="S48" s="767"/>
      <c r="T48" s="165" t="s">
        <v>1690</v>
      </c>
      <c r="U48" s="221"/>
      <c r="V48" s="221"/>
      <c r="W48" s="221"/>
      <c r="X48" s="221"/>
      <c r="Y48" s="221"/>
      <c r="Z48" s="221"/>
      <c r="AA48" s="221"/>
      <c r="AB48" s="221"/>
      <c r="AC48" s="221"/>
      <c r="AD48" s="221"/>
      <c r="AE48" s="221"/>
      <c r="AF48" s="221"/>
      <c r="AG48" s="221"/>
      <c r="AH48" s="221"/>
      <c r="AI48" s="221"/>
      <c r="AJ48" s="221"/>
      <c r="AK48" s="753" t="s">
        <v>1691</v>
      </c>
      <c r="AM48" s="66"/>
      <c r="AN48" s="66" t="str">
        <f t="shared" si="1"/>
        <v>Добавить значение признака дифференциации</v>
      </c>
      <c r="AO48" s="66"/>
      <c r="AP48" s="66"/>
    </row>
    <row r="49" spans="1:42" ht="21" customHeight="1">
      <c r="A49" s="793" t="s">
        <v>253</v>
      </c>
      <c r="B49" s="793" t="s">
        <v>254</v>
      </c>
      <c r="C49" s="793" t="s">
        <v>255</v>
      </c>
      <c r="D49" s="793" t="s">
        <v>2072</v>
      </c>
      <c r="E49" s="1288"/>
      <c r="F49" s="1288"/>
      <c r="G49" s="1288"/>
      <c r="H49" s="1288"/>
      <c r="I49" s="1289"/>
      <c r="J49" s="793"/>
      <c r="K49" s="793"/>
      <c r="L49" s="794"/>
      <c r="P49" s="1211"/>
      <c r="Q49" s="119"/>
      <c r="R49" s="214"/>
      <c r="S49" s="767"/>
      <c r="T49" s="219" t="s">
        <v>486</v>
      </c>
      <c r="U49" s="221"/>
      <c r="V49" s="221"/>
      <c r="W49" s="221"/>
      <c r="X49" s="221"/>
      <c r="Y49" s="221"/>
      <c r="Z49" s="221"/>
      <c r="AA49" s="221"/>
      <c r="AB49" s="197"/>
      <c r="AC49" s="221"/>
      <c r="AD49" s="221"/>
      <c r="AE49" s="221"/>
      <c r="AF49" s="221"/>
      <c r="AG49" s="221"/>
      <c r="AH49" s="221"/>
      <c r="AI49" s="197"/>
      <c r="AJ49" s="221"/>
      <c r="AK49" s="838"/>
      <c r="AM49" s="66"/>
      <c r="AN49" s="66" t="str">
        <f t="shared" si="1"/>
        <v>Добавить группу потребителей</v>
      </c>
      <c r="AO49" s="66"/>
      <c r="AP49" s="66"/>
    </row>
    <row r="50" spans="1:42" ht="21" customHeight="1">
      <c r="A50" s="793" t="s">
        <v>253</v>
      </c>
      <c r="B50" s="793" t="s">
        <v>254</v>
      </c>
      <c r="C50" s="793" t="s">
        <v>255</v>
      </c>
      <c r="D50" s="793" t="s">
        <v>2072</v>
      </c>
      <c r="E50" s="1288"/>
      <c r="F50" s="1288"/>
      <c r="G50" s="1288"/>
      <c r="H50" s="1287"/>
      <c r="I50" s="793"/>
      <c r="J50" s="793"/>
      <c r="K50" s="793"/>
      <c r="L50" s="794"/>
      <c r="M50" s="433"/>
      <c r="N50" s="433"/>
      <c r="O50" s="60"/>
      <c r="P50" s="2"/>
      <c r="Q50" s="224"/>
      <c r="R50" s="213"/>
      <c r="S50" s="767"/>
      <c r="T50" s="104" t="s">
        <v>1692</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253</v>
      </c>
      <c r="B51" s="142" t="s">
        <v>254</v>
      </c>
      <c r="C51" s="142"/>
      <c r="D51" s="142"/>
      <c r="E51" s="1288"/>
      <c r="F51" s="1287"/>
      <c r="G51" s="142"/>
      <c r="H51" s="142"/>
      <c r="I51" s="142"/>
      <c r="J51" s="142"/>
      <c r="K51" s="142"/>
      <c r="L51" s="355"/>
      <c r="M51" s="784"/>
      <c r="N51" s="784"/>
      <c r="P51" s="101"/>
      <c r="Q51" s="780"/>
      <c r="R51" s="101"/>
      <c r="S51" s="785"/>
      <c r="T51" s="787" t="s">
        <v>445</v>
      </c>
      <c r="U51" s="323"/>
      <c r="V51" s="323"/>
      <c r="W51" s="323"/>
      <c r="X51" s="323"/>
      <c r="Y51" s="323"/>
      <c r="Z51" s="323"/>
      <c r="AA51" s="323"/>
      <c r="AB51" s="323"/>
      <c r="AC51" s="323"/>
      <c r="AD51" s="323"/>
      <c r="AE51" s="323"/>
      <c r="AF51" s="323"/>
      <c r="AG51" s="323"/>
      <c r="AH51" s="323"/>
      <c r="AI51" s="323"/>
      <c r="AJ51" s="323"/>
      <c r="AK51" s="323"/>
      <c r="AM51" s="66"/>
      <c r="AN51" s="66" t="str">
        <f t="shared" si="1"/>
        <v>Добавить централизованную систему для дифференциации</v>
      </c>
      <c r="AO51" s="66"/>
      <c r="AP51" s="66"/>
    </row>
    <row r="52" spans="1:42" s="65" customFormat="1" ht="0" hidden="1" customHeight="1">
      <c r="A52" s="142" t="s">
        <v>253</v>
      </c>
      <c r="B52" s="142"/>
      <c r="C52" s="142"/>
      <c r="D52" s="142"/>
      <c r="E52" s="1287"/>
      <c r="F52" s="142"/>
      <c r="G52" s="142"/>
      <c r="H52" s="142"/>
      <c r="I52" s="142"/>
      <c r="J52" s="142"/>
      <c r="K52" s="142"/>
      <c r="L52" s="355"/>
      <c r="M52" s="784"/>
      <c r="N52" s="784"/>
      <c r="P52" s="101"/>
      <c r="Q52" s="780"/>
      <c r="R52" s="101"/>
      <c r="S52" s="785"/>
      <c r="T52" s="787" t="s">
        <v>446</v>
      </c>
      <c r="U52" s="323"/>
      <c r="V52" s="323"/>
      <c r="W52" s="323"/>
      <c r="X52" s="323"/>
      <c r="Y52" s="323"/>
      <c r="Z52" s="323"/>
      <c r="AA52" s="323"/>
      <c r="AB52" s="323"/>
      <c r="AC52" s="323"/>
      <c r="AD52" s="323"/>
      <c r="AE52" s="323"/>
      <c r="AF52" s="323"/>
      <c r="AG52" s="323"/>
      <c r="AH52" s="323"/>
      <c r="AI52" s="323"/>
      <c r="AJ52" s="323"/>
      <c r="AK52" s="323"/>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4"/>
      <c r="N53" s="784"/>
      <c r="P53" s="101"/>
      <c r="Q53" s="780"/>
      <c r="R53" s="101"/>
      <c r="S53" s="785"/>
      <c r="T53" s="787" t="s">
        <v>447</v>
      </c>
      <c r="U53" s="323"/>
      <c r="V53" s="323"/>
      <c r="W53" s="323"/>
      <c r="X53" s="323"/>
      <c r="Y53" s="323"/>
      <c r="Z53" s="323"/>
      <c r="AA53" s="323"/>
      <c r="AB53" s="323"/>
      <c r="AC53" s="323"/>
      <c r="AD53" s="323"/>
      <c r="AE53" s="323"/>
      <c r="AF53" s="323"/>
      <c r="AG53" s="323"/>
      <c r="AH53" s="323"/>
      <c r="AI53" s="323"/>
      <c r="AJ53" s="323"/>
      <c r="AK53" s="323"/>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519</v>
      </c>
      <c r="T55" s="1286" t="s">
        <v>2073</v>
      </c>
      <c r="U55" s="1286"/>
      <c r="V55" s="1286"/>
      <c r="W55" s="1286"/>
      <c r="X55" s="1286"/>
      <c r="Y55" s="1286"/>
      <c r="Z55" s="1286"/>
      <c r="AA55" s="1286"/>
      <c r="AB55" s="1286"/>
      <c r="AC55" s="1286"/>
      <c r="AD55" s="1286"/>
      <c r="AE55" s="1286"/>
      <c r="AF55" s="1286"/>
      <c r="AG55" s="1286"/>
      <c r="AH55" s="1286"/>
      <c r="AI55" s="1286"/>
      <c r="AJ55" s="1286"/>
      <c r="AK55" s="1286"/>
    </row>
    <row r="56" spans="1:42" ht="14.25" hidden="1" customHeight="1">
      <c r="O56" s="60"/>
    </row>
    <row r="57" spans="1:42" ht="14.25" hidden="1" customHeight="1">
      <c r="O57" s="60"/>
      <c r="S57" s="204" t="s">
        <v>519</v>
      </c>
      <c r="T57" s="1286" t="s">
        <v>2074</v>
      </c>
      <c r="U57" s="1286"/>
      <c r="V57" s="1286"/>
      <c r="W57" s="1286"/>
      <c r="X57" s="1286"/>
      <c r="Y57" s="1286"/>
      <c r="Z57" s="1286"/>
      <c r="AA57" s="1286"/>
      <c r="AB57" s="1286"/>
      <c r="AC57" s="1286"/>
      <c r="AD57" s="1286"/>
      <c r="AE57" s="1286"/>
      <c r="AF57" s="1286"/>
      <c r="AG57" s="1286"/>
      <c r="AH57" s="1286"/>
      <c r="AI57" s="1286"/>
      <c r="AJ57" s="1286"/>
      <c r="AK57" s="128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1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1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1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1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1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1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1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8E81B-740D-7ADA-5435-D7505C1A84D7}">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19" hidden="1" customWidth="1"/>
    <col min="15" max="15" width="23.42578125" style="519" hidden="1" customWidth="1"/>
    <col min="16" max="16" width="3.7109375" style="519" hidden="1" customWidth="1"/>
    <col min="17" max="17" width="3.7109375" style="796"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3"/>
      <c r="B2" s="793"/>
      <c r="C2" s="793"/>
      <c r="D2" s="793"/>
      <c r="E2" s="1287">
        <v>1</v>
      </c>
      <c r="F2" s="793"/>
      <c r="G2" s="793"/>
      <c r="H2" s="793"/>
      <c r="I2" s="793"/>
      <c r="J2" s="793"/>
      <c r="K2" s="793"/>
      <c r="L2" s="794"/>
      <c r="M2" s="433"/>
      <c r="N2" s="433"/>
      <c r="O2" s="433"/>
      <c r="Q2" s="59"/>
      <c r="R2" s="213"/>
      <c r="S2" s="725" t="e">
        <f>INDEX(PT_DIFFERENTIATION_NUM_NTAR,MATCH(A2,PT_DIFFERENTIATION_NTAR_ID,0))</f>
        <v>#N/A</v>
      </c>
      <c r="T2" s="64" t="s">
        <v>139</v>
      </c>
      <c r="U2" s="170"/>
      <c r="V2" s="1282"/>
      <c r="W2" s="1282"/>
      <c r="X2" s="1282"/>
      <c r="Y2" s="1282"/>
      <c r="Z2" s="1282"/>
      <c r="AA2" s="1282"/>
      <c r="AB2" s="1282"/>
      <c r="AC2" s="1283"/>
      <c r="AD2" s="1281" t="e">
        <f>INDEX(PT_DIFFERENTIATION_NTAR,MATCH(A2,PT_DIFFERENTIATION_NTAR_ID,0))</f>
        <v>#N/A</v>
      </c>
      <c r="AE2" s="1282"/>
      <c r="AF2" s="1282"/>
      <c r="AG2" s="1282"/>
      <c r="AH2" s="1282"/>
      <c r="AI2" s="1282"/>
      <c r="AJ2" s="1282"/>
      <c r="AK2" s="1282"/>
      <c r="AL2" s="1282"/>
      <c r="AM2" s="1282"/>
      <c r="AN2" s="1282"/>
      <c r="AO2" s="1282"/>
      <c r="AP2" s="1282"/>
      <c r="AQ2" s="1282"/>
      <c r="AR2" s="1282"/>
      <c r="AS2" s="1282"/>
      <c r="AT2" s="1282"/>
      <c r="AU2" s="1282"/>
      <c r="AV2" s="1282"/>
      <c r="AW2" s="1282"/>
      <c r="AX2" s="1282"/>
      <c r="AY2" s="1282"/>
      <c r="AZ2" s="1282"/>
      <c r="BA2" s="1282"/>
      <c r="BB2" s="1283"/>
      <c r="BC2" s="7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3"/>
      <c r="B3" s="793"/>
      <c r="C3" s="793"/>
      <c r="D3" s="793"/>
      <c r="E3" s="1288"/>
      <c r="F3" s="1287">
        <v>1</v>
      </c>
      <c r="G3" s="793"/>
      <c r="H3" s="793"/>
      <c r="I3" s="793"/>
      <c r="J3" s="793"/>
      <c r="K3" s="793"/>
      <c r="L3" s="794"/>
      <c r="M3" s="433"/>
      <c r="N3" s="433"/>
      <c r="O3" s="433"/>
      <c r="P3" s="312"/>
      <c r="Q3" s="826"/>
      <c r="R3" s="211"/>
      <c r="S3" s="725" t="e">
        <f>INDEX(PT_DIFFERENTIATION_NUM_TER,MATCH(B3,PT_DIFFERENTIATION_TER_ID,0))</f>
        <v>#N/A</v>
      </c>
      <c r="T3" s="178" t="s">
        <v>471</v>
      </c>
      <c r="U3" s="170"/>
      <c r="V3" s="1282"/>
      <c r="W3" s="1282"/>
      <c r="X3" s="1282"/>
      <c r="Y3" s="1282"/>
      <c r="Z3" s="1282"/>
      <c r="AA3" s="1282"/>
      <c r="AB3" s="1282"/>
      <c r="AC3" s="1283"/>
      <c r="AD3" s="1281" t="e">
        <f>INDEX(PT_DIFFERENTIATION_TER,MATCH(B3,PT_DIFFERENTIATION_TER_ID,0))</f>
        <v>#N/A</v>
      </c>
      <c r="AE3" s="1282"/>
      <c r="AF3" s="1282"/>
      <c r="AG3" s="1282"/>
      <c r="AH3" s="1282"/>
      <c r="AI3" s="1282"/>
      <c r="AJ3" s="1282"/>
      <c r="AK3" s="1282"/>
      <c r="AL3" s="1282"/>
      <c r="AM3" s="1282"/>
      <c r="AN3" s="1282"/>
      <c r="AO3" s="1282"/>
      <c r="AP3" s="1282"/>
      <c r="AQ3" s="1282"/>
      <c r="AR3" s="1282"/>
      <c r="AS3" s="1282"/>
      <c r="AT3" s="1282"/>
      <c r="AU3" s="1282"/>
      <c r="AV3" s="1282"/>
      <c r="AW3" s="1282"/>
      <c r="AX3" s="1282"/>
      <c r="AY3" s="1282"/>
      <c r="AZ3" s="1282"/>
      <c r="BA3" s="1282"/>
      <c r="BB3" s="1283"/>
      <c r="BC3" s="753" t="s">
        <v>472</v>
      </c>
      <c r="BE3" s="66"/>
      <c r="BF3" s="66" t="str">
        <f t="shared" si="0"/>
        <v>Территория действия тарифа</v>
      </c>
      <c r="BG3" s="66"/>
      <c r="BH3" s="66"/>
    </row>
    <row r="4" spans="1:60" ht="33.75" hidden="1" customHeight="1">
      <c r="A4" s="793"/>
      <c r="B4" s="793"/>
      <c r="C4" s="793"/>
      <c r="D4" s="793"/>
      <c r="E4" s="1288"/>
      <c r="F4" s="1288"/>
      <c r="G4" s="1287">
        <v>1</v>
      </c>
      <c r="H4" s="793"/>
      <c r="I4" s="793"/>
      <c r="J4" s="793"/>
      <c r="K4" s="793"/>
      <c r="L4" s="794"/>
      <c r="M4" s="433"/>
      <c r="N4" s="433"/>
      <c r="O4" s="433"/>
      <c r="P4" s="128"/>
      <c r="Q4" s="826"/>
      <c r="R4" s="211"/>
      <c r="S4" s="725" t="e">
        <f>INDEX(PT_DIFFERENTIATION_NUM_CS,MATCH(C4,PT_DIFFERENTIATION_CS_ID,0))</f>
        <v>#N/A</v>
      </c>
      <c r="T4" s="179" t="s">
        <v>2065</v>
      </c>
      <c r="U4" s="170"/>
      <c r="V4" s="1282"/>
      <c r="W4" s="1282"/>
      <c r="X4" s="1282"/>
      <c r="Y4" s="1282"/>
      <c r="Z4" s="1282"/>
      <c r="AA4" s="1282"/>
      <c r="AB4" s="1282"/>
      <c r="AC4" s="1283"/>
      <c r="AD4" s="1281" t="e">
        <f>INDEX(PT_DIFFERENTIATION_CS,MATCH(C4,PT_DIFFERENTIATION_CS_ID,0))</f>
        <v>#N/A</v>
      </c>
      <c r="AE4" s="1282"/>
      <c r="AF4" s="1282"/>
      <c r="AG4" s="1282"/>
      <c r="AH4" s="1282"/>
      <c r="AI4" s="1282"/>
      <c r="AJ4" s="1282"/>
      <c r="AK4" s="1282"/>
      <c r="AL4" s="1282"/>
      <c r="AM4" s="1282"/>
      <c r="AN4" s="1282"/>
      <c r="AO4" s="1282"/>
      <c r="AP4" s="1282"/>
      <c r="AQ4" s="1282"/>
      <c r="AR4" s="1282"/>
      <c r="AS4" s="1282"/>
      <c r="AT4" s="1282"/>
      <c r="AU4" s="1282"/>
      <c r="AV4" s="1282"/>
      <c r="AW4" s="1282"/>
      <c r="AX4" s="1282"/>
      <c r="AY4" s="1282"/>
      <c r="AZ4" s="1282"/>
      <c r="BA4" s="1282"/>
      <c r="BB4" s="1283"/>
      <c r="BC4" s="753" t="s">
        <v>2066</v>
      </c>
      <c r="BE4" s="66"/>
      <c r="BF4" s="66" t="str">
        <f t="shared" si="0"/>
        <v>Наименование централизованной системы горячего водоснабжения</v>
      </c>
      <c r="BG4" s="66"/>
      <c r="BH4" s="66"/>
    </row>
    <row r="5" spans="1:60" s="65" customFormat="1" ht="14.25" hidden="1" customHeight="1">
      <c r="A5" s="142"/>
      <c r="B5" s="142"/>
      <c r="C5" s="142"/>
      <c r="D5" s="142"/>
      <c r="E5" s="1288"/>
      <c r="F5" s="1288"/>
      <c r="G5" s="1288"/>
      <c r="H5" s="1287">
        <v>1</v>
      </c>
      <c r="I5" s="142"/>
      <c r="J5" s="142"/>
      <c r="K5" s="142"/>
      <c r="L5" s="355"/>
      <c r="M5" s="304"/>
      <c r="N5" s="304"/>
      <c r="O5" s="304"/>
      <c r="P5" s="844"/>
      <c r="Q5" s="845"/>
      <c r="R5" s="215"/>
      <c r="S5" s="371"/>
      <c r="T5" s="846"/>
      <c r="U5" s="804"/>
      <c r="V5" s="1317"/>
      <c r="W5" s="1317"/>
      <c r="X5" s="1317"/>
      <c r="Y5" s="1317"/>
      <c r="Z5" s="1317"/>
      <c r="AA5" s="1317"/>
      <c r="AB5" s="1317"/>
      <c r="AC5" s="1318"/>
      <c r="AD5" s="1316"/>
      <c r="AE5" s="1317"/>
      <c r="AF5" s="1317"/>
      <c r="AG5" s="1317"/>
      <c r="AH5" s="1317"/>
      <c r="AI5" s="1317"/>
      <c r="AJ5" s="1317"/>
      <c r="AK5" s="1317"/>
      <c r="AL5" s="1317"/>
      <c r="AM5" s="1317"/>
      <c r="AN5" s="1317"/>
      <c r="AO5" s="1317"/>
      <c r="AP5" s="1317"/>
      <c r="AQ5" s="1317"/>
      <c r="AR5" s="1317"/>
      <c r="AS5" s="1317"/>
      <c r="AT5" s="1317"/>
      <c r="AU5" s="1317"/>
      <c r="AV5" s="1317"/>
      <c r="AW5" s="1317"/>
      <c r="AX5" s="1317"/>
      <c r="AY5" s="1317"/>
      <c r="AZ5" s="1317"/>
      <c r="BA5" s="1317"/>
      <c r="BB5" s="1318"/>
      <c r="BC5" s="805" t="s">
        <v>476</v>
      </c>
      <c r="BE5" s="66"/>
      <c r="BF5" s="66" t="str">
        <f t="shared" si="0"/>
        <v/>
      </c>
      <c r="BG5" s="66"/>
      <c r="BH5" s="66"/>
    </row>
    <row r="6" spans="1:60" s="65" customFormat="1" ht="14.25" hidden="1" customHeight="1">
      <c r="A6" s="142"/>
      <c r="B6" s="142"/>
      <c r="C6" s="142"/>
      <c r="D6" s="142"/>
      <c r="E6" s="1288"/>
      <c r="F6" s="1288"/>
      <c r="G6" s="1288"/>
      <c r="H6" s="1288"/>
      <c r="I6" s="1289" t="str">
        <f>S5&amp;".1"</f>
        <v>.1</v>
      </c>
      <c r="J6" s="142"/>
      <c r="K6" s="142"/>
      <c r="L6" s="355" t="s">
        <v>477</v>
      </c>
      <c r="M6" s="228"/>
      <c r="N6" s="228"/>
      <c r="O6" s="228"/>
      <c r="P6" s="1211">
        <v>1</v>
      </c>
      <c r="Q6" s="119"/>
      <c r="R6" s="214"/>
      <c r="S6" s="371"/>
      <c r="T6" s="803"/>
      <c r="U6" s="804"/>
      <c r="V6" s="1317"/>
      <c r="W6" s="1317"/>
      <c r="X6" s="1317"/>
      <c r="Y6" s="1317"/>
      <c r="Z6" s="1317"/>
      <c r="AA6" s="1317"/>
      <c r="AB6" s="1317"/>
      <c r="AC6" s="1318"/>
      <c r="AD6" s="1316"/>
      <c r="AE6" s="1317"/>
      <c r="AF6" s="1317"/>
      <c r="AG6" s="1317"/>
      <c r="AH6" s="1317"/>
      <c r="AI6" s="1317"/>
      <c r="AJ6" s="1317"/>
      <c r="AK6" s="1317"/>
      <c r="AL6" s="1317"/>
      <c r="AM6" s="1317"/>
      <c r="AN6" s="1317"/>
      <c r="AO6" s="1317"/>
      <c r="AP6" s="1317"/>
      <c r="AQ6" s="1317"/>
      <c r="AR6" s="1317"/>
      <c r="AS6" s="1317"/>
      <c r="AT6" s="1317"/>
      <c r="AU6" s="1317"/>
      <c r="AV6" s="1317"/>
      <c r="AW6" s="1317"/>
      <c r="AX6" s="1317"/>
      <c r="AY6" s="1317"/>
      <c r="AZ6" s="1317"/>
      <c r="BA6" s="1317"/>
      <c r="BB6" s="1318"/>
      <c r="BC6" s="805"/>
      <c r="BE6" s="66"/>
      <c r="BF6" s="66" t="str">
        <f t="shared" si="0"/>
        <v/>
      </c>
      <c r="BG6" s="66"/>
      <c r="BH6" s="66"/>
    </row>
    <row r="7" spans="1:60" s="65" customFormat="1" ht="14.25" hidden="1" customHeight="1">
      <c r="A7" s="142"/>
      <c r="B7" s="142"/>
      <c r="C7" s="142"/>
      <c r="D7" s="142"/>
      <c r="E7" s="1288"/>
      <c r="F7" s="1288"/>
      <c r="G7" s="1288"/>
      <c r="H7" s="1288"/>
      <c r="I7" s="1290"/>
      <c r="J7" s="1289" t="str">
        <f>S5&amp;".1"</f>
        <v>.1</v>
      </c>
      <c r="K7" s="142"/>
      <c r="L7" s="355"/>
      <c r="M7" s="228"/>
      <c r="N7" s="228"/>
      <c r="O7" s="228"/>
      <c r="P7" s="1211"/>
      <c r="Q7" s="1211">
        <v>1</v>
      </c>
      <c r="R7" s="215"/>
      <c r="S7" s="371"/>
      <c r="T7" s="818"/>
      <c r="U7" s="804"/>
      <c r="V7" s="1317"/>
      <c r="W7" s="1317"/>
      <c r="X7" s="1317"/>
      <c r="Y7" s="1317"/>
      <c r="Z7" s="1317"/>
      <c r="AA7" s="1317"/>
      <c r="AB7" s="1317"/>
      <c r="AC7" s="1318"/>
      <c r="AD7" s="1316"/>
      <c r="AE7" s="1317"/>
      <c r="AF7" s="1317"/>
      <c r="AG7" s="1317"/>
      <c r="AH7" s="1317"/>
      <c r="AI7" s="1317"/>
      <c r="AJ7" s="1317"/>
      <c r="AK7" s="1317"/>
      <c r="AL7" s="1317"/>
      <c r="AM7" s="1317"/>
      <c r="AN7" s="1317"/>
      <c r="AO7" s="1317"/>
      <c r="AP7" s="1317"/>
      <c r="AQ7" s="1317"/>
      <c r="AR7" s="1317"/>
      <c r="AS7" s="1317"/>
      <c r="AT7" s="1317"/>
      <c r="AU7" s="1317"/>
      <c r="AV7" s="1317"/>
      <c r="AW7" s="1317"/>
      <c r="AX7" s="1317"/>
      <c r="AY7" s="1317"/>
      <c r="AZ7" s="1317"/>
      <c r="BA7" s="1317"/>
      <c r="BB7" s="1318"/>
      <c r="BC7" s="805"/>
      <c r="BE7" s="66"/>
      <c r="BF7" s="66" t="str">
        <f t="shared" si="0"/>
        <v/>
      </c>
      <c r="BG7" s="66"/>
      <c r="BH7" s="66"/>
    </row>
    <row r="8" spans="1:60" ht="11.25" hidden="1" customHeight="1">
      <c r="A8" s="793"/>
      <c r="B8" s="793"/>
      <c r="C8" s="793"/>
      <c r="D8" s="793"/>
      <c r="E8" s="1288"/>
      <c r="F8" s="1288"/>
      <c r="G8" s="1288"/>
      <c r="H8" s="1288"/>
      <c r="I8" s="1290"/>
      <c r="J8" s="1290"/>
      <c r="K8" s="1289" t="e">
        <f>S4&amp;".1"</f>
        <v>#N/A</v>
      </c>
      <c r="L8" s="794"/>
      <c r="P8" s="1211"/>
      <c r="Q8" s="1211"/>
      <c r="R8" s="1340">
        <v>1</v>
      </c>
      <c r="S8" s="1337" t="e">
        <f>$K8</f>
        <v>#N/A</v>
      </c>
      <c r="T8" s="1396"/>
      <c r="U8" s="170"/>
      <c r="V8" s="317"/>
      <c r="W8" s="752"/>
      <c r="X8" s="317"/>
      <c r="Y8" s="752"/>
      <c r="Z8" s="974"/>
      <c r="AA8" s="308" t="s">
        <v>59</v>
      </c>
      <c r="AB8" s="974"/>
      <c r="AC8" s="308" t="s">
        <v>59</v>
      </c>
      <c r="AD8" s="1158" t="s">
        <v>59</v>
      </c>
      <c r="AE8" s="1333"/>
      <c r="AF8" s="1171">
        <v>1</v>
      </c>
      <c r="AG8" s="1395"/>
      <c r="AH8" s="1092" t="s">
        <v>59</v>
      </c>
      <c r="AI8" s="1333"/>
      <c r="AJ8" s="1171">
        <v>1</v>
      </c>
      <c r="AK8" s="1394" t="s">
        <v>18</v>
      </c>
      <c r="AL8" s="1092" t="s">
        <v>59</v>
      </c>
      <c r="AM8" s="1146"/>
      <c r="AN8" s="1171">
        <v>1</v>
      </c>
      <c r="AO8" s="1399"/>
      <c r="AP8" s="1400" t="s">
        <v>59</v>
      </c>
      <c r="AQ8" s="181"/>
      <c r="AR8" s="280">
        <v>1</v>
      </c>
      <c r="AS8" s="116" t="s">
        <v>18</v>
      </c>
      <c r="AT8" s="317"/>
      <c r="AU8" s="752"/>
      <c r="AV8" s="317"/>
      <c r="AW8" s="752"/>
      <c r="AX8" s="974"/>
      <c r="AY8" s="308" t="s">
        <v>59</v>
      </c>
      <c r="AZ8" s="974"/>
      <c r="BA8" s="308" t="s">
        <v>59</v>
      </c>
      <c r="BB8" s="790"/>
      <c r="BC8" s="1309" t="s">
        <v>1705</v>
      </c>
      <c r="BE8" s="66"/>
      <c r="BF8" s="66" t="str">
        <f t="shared" si="0"/>
        <v/>
      </c>
      <c r="BG8" s="66"/>
      <c r="BH8" s="66"/>
    </row>
    <row r="9" spans="1:60" ht="11.25" hidden="1" customHeight="1">
      <c r="A9" s="793"/>
      <c r="B9" s="793"/>
      <c r="C9" s="793"/>
      <c r="D9" s="793"/>
      <c r="E9" s="1288"/>
      <c r="F9" s="1288"/>
      <c r="G9" s="1288"/>
      <c r="H9" s="1288"/>
      <c r="I9" s="1290"/>
      <c r="J9" s="1290"/>
      <c r="K9" s="1289"/>
      <c r="L9" s="794"/>
      <c r="P9" s="1211"/>
      <c r="Q9" s="1211"/>
      <c r="R9" s="1340"/>
      <c r="S9" s="1338"/>
      <c r="T9" s="1397"/>
      <c r="U9" s="170"/>
      <c r="V9" s="813"/>
      <c r="W9" s="843"/>
      <c r="X9" s="813"/>
      <c r="Y9" s="843"/>
      <c r="Z9" s="813"/>
      <c r="AA9" s="813"/>
      <c r="AB9" s="813"/>
      <c r="AC9" s="813"/>
      <c r="AD9" s="1159"/>
      <c r="AE9" s="1333"/>
      <c r="AF9" s="1171"/>
      <c r="AG9" s="1395"/>
      <c r="AH9" s="1092"/>
      <c r="AI9" s="1333"/>
      <c r="AJ9" s="1171"/>
      <c r="AK9" s="1394"/>
      <c r="AL9" s="1092"/>
      <c r="AM9" s="1151"/>
      <c r="AN9" s="1171"/>
      <c r="AO9" s="1399"/>
      <c r="AP9" s="1401"/>
      <c r="AQ9" s="186"/>
      <c r="AR9" s="50"/>
      <c r="AS9" s="50" t="s">
        <v>1706</v>
      </c>
      <c r="AT9" s="813"/>
      <c r="AU9" s="843"/>
      <c r="AV9" s="813"/>
      <c r="AW9" s="843"/>
      <c r="AX9" s="813"/>
      <c r="AY9" s="813"/>
      <c r="AZ9" s="813"/>
      <c r="BA9" s="813"/>
      <c r="BB9" s="817"/>
      <c r="BC9" s="1310"/>
      <c r="BE9" s="66"/>
      <c r="BF9" s="66"/>
      <c r="BG9" s="66"/>
      <c r="BH9" s="66"/>
    </row>
    <row r="10" spans="1:60" ht="11.25" hidden="1" customHeight="1">
      <c r="A10" s="793"/>
      <c r="B10" s="793"/>
      <c r="C10" s="793"/>
      <c r="D10" s="793"/>
      <c r="E10" s="1288"/>
      <c r="F10" s="1288"/>
      <c r="G10" s="1288"/>
      <c r="H10" s="1288"/>
      <c r="I10" s="1290"/>
      <c r="J10" s="1290"/>
      <c r="K10" s="1289"/>
      <c r="L10" s="794"/>
      <c r="P10" s="1211"/>
      <c r="Q10" s="1211"/>
      <c r="R10" s="1340"/>
      <c r="S10" s="1338"/>
      <c r="T10" s="1397"/>
      <c r="U10" s="170"/>
      <c r="V10" s="813"/>
      <c r="W10" s="843"/>
      <c r="X10" s="813"/>
      <c r="Y10" s="843"/>
      <c r="Z10" s="813"/>
      <c r="AA10" s="813"/>
      <c r="AB10" s="813"/>
      <c r="AC10" s="813"/>
      <c r="AD10" s="1159"/>
      <c r="AE10" s="1333"/>
      <c r="AF10" s="1171"/>
      <c r="AG10" s="1395"/>
      <c r="AH10" s="1092"/>
      <c r="AI10" s="1333"/>
      <c r="AJ10" s="1171"/>
      <c r="AK10" s="1394"/>
      <c r="AL10" s="1092"/>
      <c r="AM10" s="186"/>
      <c r="AN10" s="847"/>
      <c r="AO10" s="847" t="s">
        <v>1707</v>
      </c>
      <c r="AP10" s="50"/>
      <c r="AQ10" s="50"/>
      <c r="AR10" s="50"/>
      <c r="AS10" s="813"/>
      <c r="AT10" s="813"/>
      <c r="AU10" s="843"/>
      <c r="AV10" s="813"/>
      <c r="AW10" s="843"/>
      <c r="AX10" s="813"/>
      <c r="AY10" s="813"/>
      <c r="AZ10" s="813"/>
      <c r="BA10" s="813"/>
      <c r="BB10" s="817"/>
      <c r="BC10" s="1310"/>
      <c r="BE10" s="66"/>
      <c r="BF10" s="66"/>
      <c r="BG10" s="66"/>
      <c r="BH10" s="66"/>
    </row>
    <row r="11" spans="1:60" ht="11.25" hidden="1" customHeight="1">
      <c r="A11" s="793"/>
      <c r="B11" s="793"/>
      <c r="C11" s="793"/>
      <c r="D11" s="793"/>
      <c r="E11" s="1288"/>
      <c r="F11" s="1288"/>
      <c r="G11" s="1288"/>
      <c r="H11" s="1288"/>
      <c r="I11" s="1290"/>
      <c r="J11" s="1290"/>
      <c r="K11" s="1289"/>
      <c r="L11" s="794"/>
      <c r="P11" s="1211"/>
      <c r="Q11" s="1211"/>
      <c r="R11" s="1340"/>
      <c r="S11" s="1338"/>
      <c r="T11" s="1397"/>
      <c r="U11" s="170"/>
      <c r="V11" s="813"/>
      <c r="W11" s="843"/>
      <c r="X11" s="813"/>
      <c r="Y11" s="843"/>
      <c r="Z11" s="813"/>
      <c r="AA11" s="813"/>
      <c r="AB11" s="813"/>
      <c r="AC11" s="813"/>
      <c r="AD11" s="1159"/>
      <c r="AE11" s="1333"/>
      <c r="AF11" s="1171"/>
      <c r="AG11" s="1395"/>
      <c r="AH11" s="1092"/>
      <c r="AI11" s="168"/>
      <c r="AJ11" s="107"/>
      <c r="AK11" s="183" t="s">
        <v>1708</v>
      </c>
      <c r="AL11" s="813"/>
      <c r="AM11" s="813"/>
      <c r="AN11" s="813"/>
      <c r="AO11" s="813"/>
      <c r="AP11" s="813"/>
      <c r="AQ11" s="813"/>
      <c r="AR11" s="813"/>
      <c r="AS11" s="813"/>
      <c r="AT11" s="813"/>
      <c r="AU11" s="843"/>
      <c r="AV11" s="813"/>
      <c r="AW11" s="843"/>
      <c r="AX11" s="813"/>
      <c r="AY11" s="813"/>
      <c r="AZ11" s="813"/>
      <c r="BA11" s="813"/>
      <c r="BB11" s="817"/>
      <c r="BC11" s="1310"/>
      <c r="BE11" s="66"/>
      <c r="BF11" s="66"/>
      <c r="BG11" s="66"/>
      <c r="BH11" s="66"/>
    </row>
    <row r="12" spans="1:60" ht="11.25" hidden="1" customHeight="1">
      <c r="A12" s="793"/>
      <c r="B12" s="793"/>
      <c r="C12" s="793"/>
      <c r="D12" s="793"/>
      <c r="E12" s="1288"/>
      <c r="F12" s="1288"/>
      <c r="G12" s="1288"/>
      <c r="H12" s="1288"/>
      <c r="I12" s="1290"/>
      <c r="J12" s="1290"/>
      <c r="K12" s="1289"/>
      <c r="L12" s="794"/>
      <c r="P12" s="1211"/>
      <c r="Q12" s="1211"/>
      <c r="R12" s="1340"/>
      <c r="S12" s="1339"/>
      <c r="T12" s="1398"/>
      <c r="U12" s="170"/>
      <c r="V12" s="813"/>
      <c r="W12" s="814" t="str">
        <f>Z8&amp;"-"&amp;AB8</f>
        <v>-</v>
      </c>
      <c r="X12" s="813"/>
      <c r="Y12" s="814" t="str">
        <f>AB8&amp;"-"&amp;AD8</f>
        <v>-да</v>
      </c>
      <c r="Z12" s="813"/>
      <c r="AA12" s="813"/>
      <c r="AB12" s="813"/>
      <c r="AC12" s="813"/>
      <c r="AD12" s="1098"/>
      <c r="AE12" s="182"/>
      <c r="AF12" s="184"/>
      <c r="AG12" s="50" t="s">
        <v>1709</v>
      </c>
      <c r="AH12" s="813"/>
      <c r="AI12" s="813"/>
      <c r="AJ12" s="813"/>
      <c r="AK12" s="813"/>
      <c r="AL12" s="813"/>
      <c r="AM12" s="813"/>
      <c r="AN12" s="813"/>
      <c r="AO12" s="813"/>
      <c r="AP12" s="813"/>
      <c r="AQ12" s="813"/>
      <c r="AR12" s="813"/>
      <c r="AS12" s="813"/>
      <c r="AT12" s="813"/>
      <c r="AU12" s="814" t="str">
        <f>AX8&amp;"-"&amp;AZ8</f>
        <v>-</v>
      </c>
      <c r="AV12" s="813"/>
      <c r="AW12" s="814" t="str">
        <f>AZ8&amp;"-"&amp;BB8</f>
        <v>-</v>
      </c>
      <c r="AX12" s="813"/>
      <c r="AY12" s="813"/>
      <c r="AZ12" s="813"/>
      <c r="BA12" s="813"/>
      <c r="BB12" s="816" t="str">
        <f>BE8&amp;"-"&amp;BG8</f>
        <v>-</v>
      </c>
      <c r="BC12" s="1310"/>
      <c r="BE12" s="66"/>
      <c r="BF12" s="66" t="str">
        <f t="shared" ref="BF12:BF18" si="1">IF(T12="","",T12)</f>
        <v/>
      </c>
      <c r="BG12" s="66"/>
      <c r="BH12" s="66"/>
    </row>
    <row r="13" spans="1:60" ht="11.25" hidden="1" customHeight="1">
      <c r="A13" s="793"/>
      <c r="B13" s="793"/>
      <c r="C13" s="793"/>
      <c r="D13" s="793"/>
      <c r="E13" s="1288"/>
      <c r="F13" s="1288"/>
      <c r="G13" s="1288"/>
      <c r="H13" s="1288"/>
      <c r="I13" s="1290"/>
      <c r="J13" s="1289"/>
      <c r="K13" s="793"/>
      <c r="L13" s="794"/>
      <c r="P13" s="1211"/>
      <c r="Q13" s="1211"/>
      <c r="R13" s="214"/>
      <c r="S13" s="767"/>
      <c r="T13" s="165" t="s">
        <v>551</v>
      </c>
      <c r="U13" s="221"/>
      <c r="V13" s="221"/>
      <c r="W13" s="221"/>
      <c r="X13" s="221"/>
      <c r="Y13" s="221"/>
      <c r="Z13" s="221"/>
      <c r="AA13" s="221"/>
      <c r="AB13" s="221"/>
      <c r="AC13" s="221"/>
      <c r="AD13" s="85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311"/>
      <c r="BE13" s="66"/>
      <c r="BF13" s="66" t="str">
        <f t="shared" si="1"/>
        <v>Добавить строку</v>
      </c>
      <c r="BG13" s="66"/>
      <c r="BH13" s="66"/>
    </row>
    <row r="14" spans="1:60" s="65" customFormat="1" ht="14.25" hidden="1" customHeight="1">
      <c r="A14" s="142"/>
      <c r="B14" s="142"/>
      <c r="C14" s="142"/>
      <c r="D14" s="142"/>
      <c r="E14" s="1288"/>
      <c r="F14" s="1288"/>
      <c r="G14" s="1288"/>
      <c r="H14" s="1288"/>
      <c r="I14" s="1289"/>
      <c r="J14" s="142"/>
      <c r="K14" s="142"/>
      <c r="L14" s="355"/>
      <c r="M14" s="228"/>
      <c r="N14" s="228"/>
      <c r="O14" s="228"/>
      <c r="P14" s="1211"/>
      <c r="Q14" s="119"/>
      <c r="R14" s="214"/>
      <c r="S14" s="806"/>
      <c r="T14" s="807"/>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c r="BA14" s="808"/>
      <c r="BB14" s="808"/>
      <c r="BC14" s="809"/>
      <c r="BE14" s="66"/>
      <c r="BF14" s="66" t="str">
        <f t="shared" si="1"/>
        <v/>
      </c>
      <c r="BG14" s="66"/>
      <c r="BH14" s="66"/>
    </row>
    <row r="15" spans="1:60" s="65" customFormat="1" ht="14.25" hidden="1" customHeight="1">
      <c r="A15" s="142"/>
      <c r="B15" s="142"/>
      <c r="C15" s="142"/>
      <c r="D15" s="142"/>
      <c r="E15" s="1288"/>
      <c r="F15" s="1288"/>
      <c r="G15" s="1288"/>
      <c r="H15" s="1287"/>
      <c r="I15" s="142"/>
      <c r="J15" s="142"/>
      <c r="K15" s="142"/>
      <c r="L15" s="355"/>
      <c r="M15" s="304"/>
      <c r="N15" s="304"/>
      <c r="P15" s="101"/>
      <c r="Q15" s="780"/>
      <c r="R15" s="820"/>
      <c r="S15" s="806"/>
      <c r="T15" s="807"/>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08"/>
      <c r="AY15" s="808"/>
      <c r="AZ15" s="808"/>
      <c r="BA15" s="808"/>
      <c r="BB15" s="808"/>
      <c r="BC15" s="809"/>
      <c r="BE15" s="66"/>
      <c r="BF15" s="66" t="str">
        <f t="shared" si="1"/>
        <v/>
      </c>
      <c r="BG15" s="66"/>
      <c r="BH15" s="66"/>
    </row>
    <row r="16" spans="1:60" s="65" customFormat="1" ht="14.25" hidden="1" customHeight="1">
      <c r="A16" s="142"/>
      <c r="B16" s="142"/>
      <c r="C16" s="142"/>
      <c r="D16" s="142"/>
      <c r="E16" s="1288"/>
      <c r="F16" s="1288"/>
      <c r="G16" s="1287"/>
      <c r="H16" s="142"/>
      <c r="I16" s="142"/>
      <c r="J16" s="142"/>
      <c r="K16" s="142"/>
      <c r="L16" s="355"/>
      <c r="M16" s="304"/>
      <c r="N16" s="304"/>
      <c r="P16" s="101"/>
      <c r="Q16" s="780"/>
      <c r="R16" s="101"/>
      <c r="S16" s="785"/>
      <c r="T16" s="787"/>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E16" s="66"/>
      <c r="BF16" s="66" t="str">
        <f t="shared" si="1"/>
        <v/>
      </c>
      <c r="BG16" s="66"/>
      <c r="BH16" s="66"/>
    </row>
    <row r="17" spans="1:60" s="65" customFormat="1" ht="14.25" hidden="1" customHeight="1">
      <c r="A17" s="142"/>
      <c r="B17" s="142"/>
      <c r="C17" s="142"/>
      <c r="D17" s="142"/>
      <c r="E17" s="1288"/>
      <c r="F17" s="1287"/>
      <c r="G17" s="142"/>
      <c r="H17" s="142"/>
      <c r="I17" s="142"/>
      <c r="J17" s="142"/>
      <c r="K17" s="142"/>
      <c r="L17" s="355"/>
      <c r="M17" s="784"/>
      <c r="N17" s="784"/>
      <c r="P17" s="101"/>
      <c r="Q17" s="780"/>
      <c r="R17" s="101"/>
      <c r="S17" s="785"/>
      <c r="T17" s="787" t="s">
        <v>445</v>
      </c>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87"/>
      <c r="F18" s="142"/>
      <c r="G18" s="142"/>
      <c r="H18" s="142"/>
      <c r="I18" s="142"/>
      <c r="J18" s="142"/>
      <c r="K18" s="142"/>
      <c r="L18" s="355"/>
      <c r="M18" s="784"/>
      <c r="N18" s="784"/>
      <c r="P18" s="101"/>
      <c r="Q18" s="780"/>
      <c r="R18" s="101"/>
      <c r="S18" s="785"/>
      <c r="T18" s="787" t="s">
        <v>446</v>
      </c>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E18" s="66"/>
      <c r="BF18" s="66" t="str">
        <f t="shared" si="1"/>
        <v>Добавить территорию для дифференциации</v>
      </c>
      <c r="BG18" s="66"/>
      <c r="BH18" s="66"/>
    </row>
    <row r="19" spans="1:60" ht="14.25" hidden="1" customHeight="1"/>
    <row r="20" spans="1:60" ht="14.25" hidden="1" customHeight="1">
      <c r="AD20" s="323" t="s">
        <v>57</v>
      </c>
      <c r="AE20" s="848"/>
      <c r="AF20" s="323">
        <v>1</v>
      </c>
      <c r="AG20" s="849"/>
      <c r="AH20" s="323" t="s">
        <v>57</v>
      </c>
      <c r="AI20" s="848"/>
      <c r="AJ20" s="323">
        <v>1</v>
      </c>
      <c r="AK20" s="849"/>
      <c r="AL20" s="323" t="s">
        <v>57</v>
      </c>
      <c r="AM20" s="850"/>
      <c r="AN20" s="323">
        <v>1</v>
      </c>
      <c r="AO20" s="124"/>
      <c r="AP20" s="323" t="s">
        <v>57</v>
      </c>
      <c r="AQ20" s="850"/>
      <c r="AR20" s="323">
        <v>1</v>
      </c>
      <c r="AS20" s="124"/>
      <c r="AT20" s="196"/>
      <c r="AU20" s="231"/>
      <c r="AV20" s="196"/>
      <c r="AW20" s="231"/>
      <c r="AX20" s="976"/>
      <c r="AY20" s="840" t="s">
        <v>59</v>
      </c>
      <c r="AZ20" s="976"/>
      <c r="BA20" s="840" t="s">
        <v>59</v>
      </c>
    </row>
    <row r="21" spans="1:60" ht="14.25" hidden="1" customHeight="1">
      <c r="BD21" s="209"/>
      <c r="BE21" s="209"/>
      <c r="BF21" s="209"/>
      <c r="BG21" s="209"/>
      <c r="BH21" s="209"/>
    </row>
    <row r="22" spans="1:60" ht="14.25" hidden="1" customHeight="1">
      <c r="O22" s="795" t="s">
        <v>488</v>
      </c>
      <c r="Z22" s="185"/>
      <c r="AB22" s="185"/>
      <c r="AX22" s="185"/>
      <c r="AZ22" s="185"/>
      <c r="BD22" s="209"/>
      <c r="BE22" s="209"/>
      <c r="BF22" s="209"/>
      <c r="BG22" s="209"/>
      <c r="BH22" s="209"/>
    </row>
    <row r="23" spans="1:60" ht="14.25" hidden="1" customHeight="1">
      <c r="BD23" s="209"/>
      <c r="BE23" s="209"/>
      <c r="BF23" s="209"/>
      <c r="BG23" s="209"/>
      <c r="BH23" s="209"/>
    </row>
    <row r="24" spans="1:60" s="853" customFormat="1" ht="14.25" hidden="1" customHeight="1">
      <c r="M24" s="854"/>
      <c r="N24" s="854"/>
      <c r="O24" s="853" t="s">
        <v>489</v>
      </c>
      <c r="P24" s="854"/>
      <c r="Q24" s="855"/>
      <c r="R24" s="855"/>
      <c r="AA24" s="853" t="s">
        <v>491</v>
      </c>
      <c r="AC24" s="853" t="s">
        <v>492</v>
      </c>
      <c r="AD24" s="853" t="s">
        <v>552</v>
      </c>
      <c r="AH24" s="853" t="s">
        <v>552</v>
      </c>
      <c r="AK24" s="853" t="s">
        <v>1710</v>
      </c>
      <c r="AL24" s="853" t="s">
        <v>552</v>
      </c>
      <c r="AP24" s="853" t="s">
        <v>552</v>
      </c>
      <c r="AY24" s="853" t="s">
        <v>491</v>
      </c>
      <c r="BA24" s="853" t="s">
        <v>492</v>
      </c>
      <c r="BD24" s="856"/>
      <c r="BE24" s="856"/>
      <c r="BF24" s="856"/>
      <c r="BG24" s="856"/>
      <c r="BH24" s="856"/>
    </row>
    <row r="25" spans="1:60" ht="14.25" hidden="1" customHeight="1">
      <c r="O25" s="794"/>
      <c r="BD25" s="209"/>
      <c r="BE25" s="209"/>
      <c r="BF25" s="209"/>
      <c r="BG25" s="209"/>
      <c r="BH25" s="209"/>
    </row>
    <row r="26" spans="1:60" ht="14.25" hidden="1" customHeight="1">
      <c r="O26" s="794"/>
      <c r="BD26" s="209"/>
      <c r="BE26" s="209"/>
      <c r="BF26" s="209"/>
      <c r="BG26" s="209"/>
      <c r="BH26" s="209"/>
    </row>
    <row r="27" spans="1:60" ht="14.25" customHeight="1">
      <c r="Q27" s="167"/>
      <c r="R27" s="27"/>
      <c r="S27" s="764"/>
      <c r="T27" s="8"/>
      <c r="U27" s="8"/>
    </row>
    <row r="28" spans="1:60" ht="33.75" customHeight="1">
      <c r="Q28" s="167"/>
      <c r="R28" s="27"/>
      <c r="S28" s="1312"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1312"/>
      <c r="U28" s="1312"/>
      <c r="V28" s="1312"/>
      <c r="W28" s="1312"/>
      <c r="X28" s="1312"/>
      <c r="Y28" s="1312"/>
      <c r="Z28" s="1312"/>
      <c r="AA28" s="1312"/>
      <c r="AB28" s="1312"/>
      <c r="AC28" s="1312"/>
      <c r="AD28" s="1312"/>
      <c r="AE28" s="1312"/>
      <c r="AF28" s="1312"/>
      <c r="AG28" s="1312"/>
      <c r="AH28" s="1312"/>
      <c r="AI28" s="1312"/>
      <c r="AJ28" s="1312"/>
      <c r="AK28" s="1312"/>
      <c r="AL28" s="1312"/>
      <c r="AM28" s="1312"/>
      <c r="AN28" s="1312"/>
      <c r="AO28" s="1312"/>
      <c r="AP28" s="1312"/>
      <c r="AQ28" s="1312"/>
      <c r="AR28" s="1312"/>
      <c r="AS28" s="1312"/>
      <c r="AT28" s="1312"/>
      <c r="AU28" s="1312"/>
      <c r="AV28" s="1312"/>
      <c r="AW28" s="1312"/>
      <c r="AX28" s="1312"/>
      <c r="AY28" s="1312"/>
      <c r="AZ28" s="1312"/>
      <c r="BA28" s="57"/>
    </row>
    <row r="29" spans="1:60" ht="14.25" customHeight="1">
      <c r="Q29" s="167"/>
      <c r="R29" s="27"/>
      <c r="S29" s="1178" t="str">
        <f>IF(org=0,"Не определено",org)</f>
        <v>ООО "Концессионная Коммунальная Компания"</v>
      </c>
      <c r="T29" s="1178"/>
      <c r="U29" s="1178"/>
      <c r="V29" s="1178"/>
      <c r="W29" s="1178"/>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178"/>
      <c r="AS29" s="1178"/>
      <c r="AT29" s="1178"/>
      <c r="AU29" s="1178"/>
      <c r="AV29" s="1178"/>
      <c r="AW29" s="1178"/>
      <c r="AX29" s="1178"/>
      <c r="AY29" s="1178"/>
      <c r="AZ29" s="1178"/>
      <c r="BA29" s="57"/>
    </row>
    <row r="30" spans="1:60" ht="14.25" hidden="1" customHeight="1">
      <c r="Q30" s="167"/>
      <c r="R30" s="27"/>
      <c r="S30" s="764"/>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4"/>
      <c r="M31" s="79"/>
      <c r="N31" s="79"/>
      <c r="O31" s="79"/>
      <c r="P31" s="79"/>
      <c r="Q31" s="79"/>
      <c r="S31" s="1278" t="s">
        <v>40</v>
      </c>
      <c r="T31" s="1278"/>
      <c r="U31" s="797"/>
      <c r="V31" s="1280"/>
      <c r="W31" s="1280"/>
      <c r="X31" s="1280"/>
      <c r="Y31" s="1280"/>
      <c r="Z31" s="1280"/>
      <c r="AA31" s="1280"/>
      <c r="AB31" s="1280"/>
      <c r="AC31" s="9"/>
      <c r="AD31" s="1280" t="str">
        <f>IF(TITLE_NAME_OR_PR_CHANGE="",IF(TITLE_NAME_OR_PR="","",TITLE_NAME_OR_PR),TITLE_NAME_OR_PR_CHANGE)</f>
        <v/>
      </c>
      <c r="AE31" s="1280"/>
      <c r="AF31" s="1280"/>
      <c r="AG31" s="1280"/>
      <c r="AH31" s="1280"/>
      <c r="AI31" s="1280"/>
      <c r="AJ31" s="1280"/>
      <c r="AK31" s="1280"/>
      <c r="AL31" s="1280"/>
      <c r="AM31" s="1280"/>
      <c r="AN31" s="1280"/>
      <c r="AO31" s="1280"/>
      <c r="AP31" s="1280"/>
      <c r="AQ31" s="1280"/>
      <c r="AR31" s="1280"/>
      <c r="AS31" s="1280"/>
      <c r="AT31" s="1280"/>
      <c r="AU31" s="1280"/>
      <c r="AV31" s="1280"/>
      <c r="AW31" s="1280"/>
      <c r="AX31" s="1280"/>
      <c r="AY31" s="1280"/>
      <c r="AZ31" s="1280"/>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4"/>
      <c r="M32" s="79"/>
      <c r="N32" s="79"/>
      <c r="O32" s="79"/>
      <c r="P32" s="79"/>
      <c r="Q32" s="79"/>
      <c r="S32" s="1278" t="s">
        <v>494</v>
      </c>
      <c r="T32" s="1278"/>
      <c r="U32" s="797"/>
      <c r="V32" s="1279"/>
      <c r="W32" s="1279"/>
      <c r="X32" s="1279"/>
      <c r="Y32" s="1279"/>
      <c r="Z32" s="1279"/>
      <c r="AA32" s="1279"/>
      <c r="AB32" s="1279"/>
      <c r="AC32" s="9"/>
      <c r="AD32" s="1279" t="str">
        <f>IF(TITLE_DATE_CHANGE_PERIOD="",IF(TITLE_DATE_PR="","",TITLE_DATE_PR),TITLE_DATE_CHANGE_PERIOD)</f>
        <v/>
      </c>
      <c r="AE32" s="1279"/>
      <c r="AF32" s="1279"/>
      <c r="AG32" s="1279"/>
      <c r="AH32" s="1279"/>
      <c r="AI32" s="1279"/>
      <c r="AJ32" s="1279"/>
      <c r="AK32" s="1279"/>
      <c r="AL32" s="1279"/>
      <c r="AM32" s="1279"/>
      <c r="AN32" s="1279"/>
      <c r="AO32" s="1279"/>
      <c r="AP32" s="1279"/>
      <c r="AQ32" s="1279"/>
      <c r="AR32" s="1279"/>
      <c r="AS32" s="1279"/>
      <c r="AT32" s="1279"/>
      <c r="AU32" s="1279"/>
      <c r="AV32" s="1279"/>
      <c r="AW32" s="1279"/>
      <c r="AX32" s="1279"/>
      <c r="AY32" s="1279"/>
      <c r="AZ32" s="1279"/>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4"/>
      <c r="M33" s="79"/>
      <c r="N33" s="79"/>
      <c r="O33" s="79"/>
      <c r="P33" s="79"/>
      <c r="Q33" s="79"/>
      <c r="S33" s="1278" t="s">
        <v>495</v>
      </c>
      <c r="T33" s="1278"/>
      <c r="U33" s="797"/>
      <c r="V33" s="1280"/>
      <c r="W33" s="1280"/>
      <c r="X33" s="1280"/>
      <c r="Y33" s="1280"/>
      <c r="Z33" s="1280"/>
      <c r="AA33" s="1280"/>
      <c r="AB33" s="1280"/>
      <c r="AC33" s="9"/>
      <c r="AD33" s="1280" t="str">
        <f>IF(TITLE_NUMBER_PR_CHANGE="",IF(TITLE_NUMBER_PR="","",TITLE_NUMBER_PR),TITLE_NUMBER_PR_CHANGE)</f>
        <v/>
      </c>
      <c r="AE33" s="1280"/>
      <c r="AF33" s="1280"/>
      <c r="AG33" s="1280"/>
      <c r="AH33" s="1280"/>
      <c r="AI33" s="1280"/>
      <c r="AJ33" s="1280"/>
      <c r="AK33" s="1280"/>
      <c r="AL33" s="1280"/>
      <c r="AM33" s="1280"/>
      <c r="AN33" s="1280"/>
      <c r="AO33" s="1280"/>
      <c r="AP33" s="1280"/>
      <c r="AQ33" s="1280"/>
      <c r="AR33" s="1280"/>
      <c r="AS33" s="1280"/>
      <c r="AT33" s="1280"/>
      <c r="AU33" s="1280"/>
      <c r="AV33" s="1280"/>
      <c r="AW33" s="1280"/>
      <c r="AX33" s="1280"/>
      <c r="AY33" s="1280"/>
      <c r="AZ33" s="1280"/>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4"/>
      <c r="M34" s="79"/>
      <c r="N34" s="79"/>
      <c r="O34" s="79"/>
      <c r="P34" s="79"/>
      <c r="Q34" s="79"/>
      <c r="S34" s="1278" t="s">
        <v>41</v>
      </c>
      <c r="T34" s="1278"/>
      <c r="U34" s="797"/>
      <c r="V34" s="1280"/>
      <c r="W34" s="1280"/>
      <c r="X34" s="1280"/>
      <c r="Y34" s="1280"/>
      <c r="Z34" s="1280"/>
      <c r="AA34" s="1280"/>
      <c r="AB34" s="1280"/>
      <c r="AC34" s="9"/>
      <c r="AD34" s="1280" t="str">
        <f>IF(TITLE_IST_PUB_CHANGE="",IF(TITLE_IST_PUB="","",TITLE_IST_PUB),TITLE_IST_PUB_CHANGE)</f>
        <v/>
      </c>
      <c r="AE34" s="1280"/>
      <c r="AF34" s="1280"/>
      <c r="AG34" s="1280"/>
      <c r="AH34" s="1280"/>
      <c r="AI34" s="1280"/>
      <c r="AJ34" s="1280"/>
      <c r="AK34" s="1280"/>
      <c r="AL34" s="1280"/>
      <c r="AM34" s="1280"/>
      <c r="AN34" s="1280"/>
      <c r="AO34" s="1280"/>
      <c r="AP34" s="1280"/>
      <c r="AQ34" s="1280"/>
      <c r="AR34" s="1280"/>
      <c r="AS34" s="1280"/>
      <c r="AT34" s="1280"/>
      <c r="AU34" s="1280"/>
      <c r="AV34" s="1280"/>
      <c r="AW34" s="1280"/>
      <c r="AX34" s="1280"/>
      <c r="AY34" s="1280"/>
      <c r="AZ34" s="1280"/>
      <c r="BA34" s="9"/>
      <c r="BB34" s="9"/>
      <c r="BC34" s="162"/>
      <c r="BD34" s="66"/>
      <c r="BE34" s="66"/>
      <c r="BF34" s="66"/>
      <c r="BG34" s="66"/>
      <c r="BH34" s="66"/>
    </row>
    <row r="35" spans="1:60" ht="14.25" hidden="1" customHeight="1">
      <c r="Q35" s="167"/>
      <c r="R35" s="27"/>
      <c r="S35" s="764"/>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4"/>
      <c r="M36" s="79"/>
      <c r="N36" s="79"/>
      <c r="O36" s="79"/>
      <c r="P36" s="79"/>
      <c r="Q36" s="79"/>
      <c r="S36" s="1278" t="s">
        <v>494</v>
      </c>
      <c r="T36" s="1278"/>
      <c r="U36" s="797"/>
      <c r="V36" s="1279"/>
      <c r="W36" s="1279"/>
      <c r="X36" s="1279"/>
      <c r="Y36" s="1279"/>
      <c r="Z36" s="1279"/>
      <c r="AA36" s="1279"/>
      <c r="AB36" s="1279"/>
      <c r="AC36" s="9"/>
      <c r="AD36" s="1279" t="str">
        <f>IF(TITLE_DATE_CHANGE_PERIOD="",IF(TITLE_DATE_PR="","",TITLE_DATE_PR),TITLE_DATE_CHANGE_PERIOD)</f>
        <v/>
      </c>
      <c r="AE36" s="1279"/>
      <c r="AF36" s="1279"/>
      <c r="AG36" s="1279"/>
      <c r="AH36" s="1279"/>
      <c r="AI36" s="1279"/>
      <c r="AJ36" s="1279"/>
      <c r="AK36" s="1279"/>
      <c r="AL36" s="1279"/>
      <c r="AM36" s="1279"/>
      <c r="AN36" s="1279"/>
      <c r="AO36" s="1279"/>
      <c r="AP36" s="1279"/>
      <c r="AQ36" s="1279"/>
      <c r="AR36" s="1279"/>
      <c r="AS36" s="1279"/>
      <c r="AT36" s="1279"/>
      <c r="AU36" s="1279"/>
      <c r="AV36" s="1279"/>
      <c r="AW36" s="1279"/>
      <c r="AX36" s="1279"/>
      <c r="AY36" s="1279"/>
      <c r="AZ36" s="1279"/>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4"/>
      <c r="M37" s="79"/>
      <c r="N37" s="79"/>
      <c r="O37" s="79"/>
      <c r="P37" s="79"/>
      <c r="Q37" s="79"/>
      <c r="S37" s="1278" t="s">
        <v>495</v>
      </c>
      <c r="T37" s="1278"/>
      <c r="U37" s="797"/>
      <c r="V37" s="1280"/>
      <c r="W37" s="1280"/>
      <c r="X37" s="1280"/>
      <c r="Y37" s="1280"/>
      <c r="Z37" s="1280"/>
      <c r="AA37" s="1280"/>
      <c r="AB37" s="1280"/>
      <c r="AC37" s="9"/>
      <c r="AD37" s="1280" t="str">
        <f>IF(TITLE_NUMBER_PR_CHANGE="",IF(TITLE_NUMBER_PR="","",TITLE_NUMBER_PR),TITLE_NUMBER_PR_CHANGE)</f>
        <v/>
      </c>
      <c r="AE37" s="1280"/>
      <c r="AF37" s="1280"/>
      <c r="AG37" s="1280"/>
      <c r="AH37" s="1280"/>
      <c r="AI37" s="1280"/>
      <c r="AJ37" s="1280"/>
      <c r="AK37" s="1280"/>
      <c r="AL37" s="1280"/>
      <c r="AM37" s="1280"/>
      <c r="AN37" s="1280"/>
      <c r="AO37" s="1280"/>
      <c r="AP37" s="1280"/>
      <c r="AQ37" s="1280"/>
      <c r="AR37" s="1280"/>
      <c r="AS37" s="1280"/>
      <c r="AT37" s="1280"/>
      <c r="AU37" s="1280"/>
      <c r="AV37" s="1280"/>
      <c r="AW37" s="1280"/>
      <c r="AX37" s="1280"/>
      <c r="AY37" s="1280"/>
      <c r="AZ37" s="1280"/>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4"/>
      <c r="M38" s="79"/>
      <c r="N38" s="79"/>
      <c r="O38" s="79"/>
      <c r="P38" s="79"/>
      <c r="Q38" s="79"/>
      <c r="S38" s="9"/>
      <c r="T38" s="9"/>
      <c r="U38" s="75"/>
      <c r="V38" s="9"/>
      <c r="W38" s="9"/>
      <c r="X38" s="9"/>
      <c r="Y38" s="9"/>
      <c r="Z38" s="9"/>
      <c r="AA38" s="9"/>
      <c r="AB38" s="9"/>
      <c r="AC38" s="65" t="s">
        <v>498</v>
      </c>
      <c r="AD38" s="9"/>
      <c r="AE38" s="9"/>
      <c r="AF38" s="9"/>
      <c r="AG38" s="9"/>
      <c r="AH38" s="9"/>
      <c r="AI38" s="9"/>
      <c r="AJ38" s="9"/>
      <c r="AK38" s="9"/>
      <c r="AL38" s="9"/>
      <c r="AM38" s="9"/>
      <c r="AN38" s="9"/>
      <c r="AO38" s="9"/>
      <c r="AP38" s="9"/>
      <c r="AQ38" s="9"/>
      <c r="AR38" s="9"/>
      <c r="AS38" s="9"/>
      <c r="AT38" s="9"/>
      <c r="AU38" s="9"/>
      <c r="AV38" s="9"/>
      <c r="AW38" s="9"/>
      <c r="AX38" s="9"/>
      <c r="AY38" s="9"/>
      <c r="AZ38" s="9"/>
      <c r="BA38" s="65" t="s">
        <v>498</v>
      </c>
      <c r="BD38" s="66"/>
      <c r="BE38" s="66"/>
      <c r="BF38" s="66"/>
      <c r="BG38" s="66"/>
      <c r="BH38" s="66"/>
    </row>
    <row r="39" spans="1:60" ht="14.25" customHeight="1">
      <c r="Q39" s="167"/>
      <c r="R39" s="27"/>
      <c r="S39" s="764"/>
      <c r="T39" s="8"/>
      <c r="U39" s="736"/>
      <c r="V39" s="1298"/>
      <c r="W39" s="1298"/>
      <c r="X39" s="1298"/>
      <c r="Y39" s="1298"/>
      <c r="Z39" s="1298"/>
      <c r="AA39" s="1298"/>
      <c r="AB39" s="1298"/>
      <c r="AC39" s="1298"/>
      <c r="AD39" s="1298"/>
      <c r="AE39" s="1298"/>
      <c r="AF39" s="1298"/>
      <c r="AG39" s="1298"/>
      <c r="AH39" s="1298"/>
      <c r="AI39" s="1298"/>
      <c r="AJ39" s="1298"/>
      <c r="AK39" s="1298"/>
      <c r="AL39" s="1298"/>
      <c r="AM39" s="1298"/>
      <c r="AN39" s="1298"/>
      <c r="AO39" s="1298"/>
      <c r="AP39" s="1298"/>
      <c r="AQ39" s="1298"/>
      <c r="AR39" s="1298"/>
      <c r="AS39" s="1298"/>
      <c r="AT39" s="1298"/>
      <c r="AU39" s="1298"/>
      <c r="AV39" s="1298"/>
      <c r="AW39" s="1298"/>
      <c r="AX39" s="1298"/>
      <c r="AY39" s="1298"/>
      <c r="AZ39" s="1298"/>
      <c r="BA39" s="1298"/>
    </row>
    <row r="40" spans="1:60" ht="14.25" customHeight="1">
      <c r="Q40" s="167"/>
      <c r="R40" s="27"/>
      <c r="S40" s="1082" t="s">
        <v>302</v>
      </c>
      <c r="T40" s="1082"/>
      <c r="U40" s="1082"/>
      <c r="V40" s="1082"/>
      <c r="W40" s="1082"/>
      <c r="X40" s="1082"/>
      <c r="Y40" s="1082"/>
      <c r="Z40" s="1082"/>
      <c r="AA40" s="1082"/>
      <c r="AB40" s="1082"/>
      <c r="AC40" s="1082"/>
      <c r="AD40" s="1082"/>
      <c r="AE40" s="1082"/>
      <c r="AF40" s="1082"/>
      <c r="AG40" s="1082"/>
      <c r="AH40" s="1082"/>
      <c r="AI40" s="1082"/>
      <c r="AJ40" s="1082"/>
      <c r="AK40" s="1082"/>
      <c r="AL40" s="1082"/>
      <c r="AM40" s="1082"/>
      <c r="AN40" s="1082"/>
      <c r="AO40" s="1082"/>
      <c r="AP40" s="1082"/>
      <c r="AQ40" s="1082"/>
      <c r="AR40" s="1082"/>
      <c r="AS40" s="1082"/>
      <c r="AT40" s="1082"/>
      <c r="AU40" s="1082"/>
      <c r="AV40" s="1082"/>
      <c r="AW40" s="1082"/>
      <c r="AX40" s="1082"/>
      <c r="AY40" s="1082"/>
      <c r="AZ40" s="1082"/>
      <c r="BA40" s="1082"/>
      <c r="BB40" s="1082"/>
      <c r="BC40" s="1082" t="s">
        <v>303</v>
      </c>
    </row>
    <row r="41" spans="1:60" ht="14.25" customHeight="1">
      <c r="Q41" s="167"/>
      <c r="R41" s="27"/>
      <c r="S41" s="1299" t="s">
        <v>88</v>
      </c>
      <c r="T41" s="1176" t="s">
        <v>1711</v>
      </c>
      <c r="U41" s="171"/>
      <c r="V41" s="1300" t="s">
        <v>500</v>
      </c>
      <c r="W41" s="1301"/>
      <c r="X41" s="1301"/>
      <c r="Y41" s="1301"/>
      <c r="Z41" s="1301"/>
      <c r="AA41" s="1301"/>
      <c r="AB41" s="1302"/>
      <c r="AC41" s="1303" t="s">
        <v>501</v>
      </c>
      <c r="AD41" s="1326" t="s">
        <v>1712</v>
      </c>
      <c r="AE41" s="1315"/>
      <c r="AF41" s="1315"/>
      <c r="AG41" s="1327"/>
      <c r="AH41" s="1326" t="s">
        <v>1713</v>
      </c>
      <c r="AI41" s="1315"/>
      <c r="AJ41" s="1315"/>
      <c r="AK41" s="1327"/>
      <c r="AL41" s="1326" t="s">
        <v>1714</v>
      </c>
      <c r="AM41" s="1315"/>
      <c r="AN41" s="1315"/>
      <c r="AO41" s="1327"/>
      <c r="AP41" s="1326" t="s">
        <v>1715</v>
      </c>
      <c r="AQ41" s="1315"/>
      <c r="AR41" s="1315"/>
      <c r="AS41" s="1327"/>
      <c r="AT41" s="1300" t="s">
        <v>500</v>
      </c>
      <c r="AU41" s="1301"/>
      <c r="AV41" s="1301"/>
      <c r="AW41" s="1301"/>
      <c r="AX41" s="1301"/>
      <c r="AY41" s="1301"/>
      <c r="AZ41" s="1302"/>
      <c r="BA41" s="1303" t="s">
        <v>501</v>
      </c>
      <c r="BB41" s="1306" t="s">
        <v>503</v>
      </c>
      <c r="BC41" s="1082"/>
    </row>
    <row r="42" spans="1:60" ht="33.75" customHeight="1">
      <c r="Q42" s="167"/>
      <c r="R42" s="27"/>
      <c r="S42" s="1299"/>
      <c r="T42" s="1176"/>
      <c r="U42" s="621"/>
      <c r="V42" s="1146" t="s">
        <v>1716</v>
      </c>
      <c r="W42" s="1147"/>
      <c r="X42" s="1146" t="s">
        <v>1717</v>
      </c>
      <c r="Y42" s="1147"/>
      <c r="Z42" s="1146" t="s">
        <v>1718</v>
      </c>
      <c r="AA42" s="1320"/>
      <c r="AB42" s="1147"/>
      <c r="AC42" s="1304"/>
      <c r="AD42" s="1328"/>
      <c r="AE42" s="1329"/>
      <c r="AF42" s="1329"/>
      <c r="AG42" s="1341"/>
      <c r="AH42" s="1328"/>
      <c r="AI42" s="1329"/>
      <c r="AJ42" s="1329"/>
      <c r="AK42" s="1341"/>
      <c r="AL42" s="1328"/>
      <c r="AM42" s="1329"/>
      <c r="AN42" s="1329"/>
      <c r="AO42" s="1341"/>
      <c r="AP42" s="1328"/>
      <c r="AQ42" s="1329"/>
      <c r="AR42" s="1329"/>
      <c r="AS42" s="1341"/>
      <c r="AT42" s="1146" t="s">
        <v>1716</v>
      </c>
      <c r="AU42" s="1147"/>
      <c r="AV42" s="1146" t="s">
        <v>1717</v>
      </c>
      <c r="AW42" s="1147"/>
      <c r="AX42" s="1146" t="s">
        <v>1718</v>
      </c>
      <c r="AY42" s="1320"/>
      <c r="AZ42" s="1147"/>
      <c r="BA42" s="1304"/>
      <c r="BB42" s="1307"/>
      <c r="BC42" s="1082"/>
    </row>
    <row r="43" spans="1:60" ht="14.25" customHeight="1">
      <c r="Q43" s="167"/>
      <c r="R43" s="27"/>
      <c r="S43" s="1299"/>
      <c r="T43" s="1176"/>
      <c r="U43" s="621"/>
      <c r="V43" s="1151"/>
      <c r="W43" s="1152"/>
      <c r="X43" s="1151"/>
      <c r="Y43" s="1152"/>
      <c r="Z43" s="1151"/>
      <c r="AA43" s="1321"/>
      <c r="AB43" s="1152"/>
      <c r="AC43" s="1304"/>
      <c r="AD43" s="1328"/>
      <c r="AE43" s="1329"/>
      <c r="AF43" s="1329"/>
      <c r="AG43" s="1341"/>
      <c r="AH43" s="1328"/>
      <c r="AI43" s="1329"/>
      <c r="AJ43" s="1329"/>
      <c r="AK43" s="1341"/>
      <c r="AL43" s="1328"/>
      <c r="AM43" s="1329"/>
      <c r="AN43" s="1329"/>
      <c r="AO43" s="1341"/>
      <c r="AP43" s="1328"/>
      <c r="AQ43" s="1329"/>
      <c r="AR43" s="1329"/>
      <c r="AS43" s="1341"/>
      <c r="AT43" s="1151"/>
      <c r="AU43" s="1152"/>
      <c r="AV43" s="1151"/>
      <c r="AW43" s="1152"/>
      <c r="AX43" s="1151"/>
      <c r="AY43" s="1321"/>
      <c r="AZ43" s="1152"/>
      <c r="BA43" s="1304"/>
      <c r="BB43" s="1307"/>
      <c r="BC43" s="1082"/>
    </row>
    <row r="44" spans="1:60" ht="14.25" customHeight="1">
      <c r="A44" s="79"/>
      <c r="B44" s="79" t="s">
        <v>151</v>
      </c>
      <c r="C44" s="79" t="s">
        <v>152</v>
      </c>
      <c r="D44" s="79" t="s">
        <v>153</v>
      </c>
      <c r="E44" s="794" t="s">
        <v>508</v>
      </c>
      <c r="F44" s="794" t="s">
        <v>509</v>
      </c>
      <c r="G44" s="794" t="s">
        <v>510</v>
      </c>
      <c r="H44" s="794" t="s">
        <v>511</v>
      </c>
      <c r="I44" s="794" t="s">
        <v>512</v>
      </c>
      <c r="J44" s="794" t="s">
        <v>513</v>
      </c>
      <c r="K44" s="794" t="s">
        <v>514</v>
      </c>
      <c r="L44" s="794" t="s">
        <v>489</v>
      </c>
      <c r="Q44" s="167"/>
      <c r="R44" s="27"/>
      <c r="S44" s="1299"/>
      <c r="T44" s="1176"/>
      <c r="U44" s="172"/>
      <c r="V44" s="34" t="s">
        <v>562</v>
      </c>
      <c r="W44" s="34" t="s">
        <v>563</v>
      </c>
      <c r="X44" s="34" t="s">
        <v>562</v>
      </c>
      <c r="Y44" s="34" t="s">
        <v>563</v>
      </c>
      <c r="Z44" s="37" t="s">
        <v>517</v>
      </c>
      <c r="AA44" s="1182" t="s">
        <v>518</v>
      </c>
      <c r="AB44" s="1195"/>
      <c r="AC44" s="1305"/>
      <c r="AD44" s="1330"/>
      <c r="AE44" s="1331"/>
      <c r="AF44" s="1331"/>
      <c r="AG44" s="1332"/>
      <c r="AH44" s="1330"/>
      <c r="AI44" s="1331"/>
      <c r="AJ44" s="1331"/>
      <c r="AK44" s="1332"/>
      <c r="AL44" s="1330"/>
      <c r="AM44" s="1331"/>
      <c r="AN44" s="1331"/>
      <c r="AO44" s="1332"/>
      <c r="AP44" s="1330"/>
      <c r="AQ44" s="1331"/>
      <c r="AR44" s="1331"/>
      <c r="AS44" s="1332"/>
      <c r="AT44" s="34" t="s">
        <v>562</v>
      </c>
      <c r="AU44" s="34" t="s">
        <v>563</v>
      </c>
      <c r="AV44" s="34" t="s">
        <v>562</v>
      </c>
      <c r="AW44" s="34" t="s">
        <v>563</v>
      </c>
      <c r="AX44" s="37" t="s">
        <v>517</v>
      </c>
      <c r="AY44" s="1182" t="s">
        <v>518</v>
      </c>
      <c r="AZ44" s="1195"/>
      <c r="BA44" s="1305"/>
      <c r="BB44" s="1308"/>
      <c r="BC44" s="1082"/>
    </row>
    <row r="45" spans="1:60" s="209" customFormat="1" ht="0" hidden="1" customHeight="1">
      <c r="A45" s="79"/>
      <c r="B45" s="79"/>
      <c r="C45" s="79"/>
      <c r="D45" s="79"/>
      <c r="E45" s="79"/>
      <c r="F45" s="79"/>
      <c r="G45" s="79"/>
      <c r="H45" s="79"/>
      <c r="I45" s="79"/>
      <c r="J45" s="79"/>
      <c r="K45" s="79"/>
      <c r="L45" s="794"/>
      <c r="M45" s="519"/>
      <c r="N45" s="519"/>
      <c r="O45" s="519"/>
      <c r="P45" s="228"/>
      <c r="Q45" s="747"/>
      <c r="R45" s="747">
        <v>1</v>
      </c>
      <c r="S45" s="766" t="s">
        <v>119</v>
      </c>
      <c r="T45" s="748" t="s">
        <v>103</v>
      </c>
      <c r="U45" s="737" t="str">
        <f ca="1">OFFSET(U45,0,-1)</f>
        <v>2</v>
      </c>
      <c r="V45" s="749">
        <f t="shared" ref="V45:AA45" ca="1" si="2">OFFSET(V45,0,-1)+1</f>
        <v>3</v>
      </c>
      <c r="W45" s="749">
        <f t="shared" ca="1" si="2"/>
        <v>4</v>
      </c>
      <c r="X45" s="749">
        <f t="shared" ca="1" si="2"/>
        <v>5</v>
      </c>
      <c r="Y45" s="749">
        <f t="shared" ca="1" si="2"/>
        <v>6</v>
      </c>
      <c r="Z45" s="749">
        <f t="shared" ca="1" si="2"/>
        <v>7</v>
      </c>
      <c r="AA45" s="1297">
        <f t="shared" ca="1" si="2"/>
        <v>8</v>
      </c>
      <c r="AB45" s="1297"/>
      <c r="AC45" s="749">
        <f ca="1">OFFSET(AC45,0,-2)+1</f>
        <v>9</v>
      </c>
      <c r="AD45" s="749">
        <f ca="1">OFFSET(AD45,0,-1)+1</f>
        <v>10</v>
      </c>
      <c r="AE45" s="749"/>
      <c r="AF45" s="749"/>
      <c r="AG45" s="749"/>
      <c r="AH45" s="749"/>
      <c r="AI45" s="749"/>
      <c r="AJ45" s="749"/>
      <c r="AK45" s="749"/>
      <c r="AL45" s="749"/>
      <c r="AM45" s="749"/>
      <c r="AN45" s="749"/>
      <c r="AO45" s="749"/>
      <c r="AP45" s="749"/>
      <c r="AQ45" s="749"/>
      <c r="AR45" s="749"/>
      <c r="AS45" s="749"/>
      <c r="AT45" s="749"/>
      <c r="AU45" s="749"/>
      <c r="AV45" s="749"/>
      <c r="AW45" s="749">
        <f ca="1">OFFSET(AW45,0,-1)+1</f>
        <v>1</v>
      </c>
      <c r="AX45" s="749">
        <f ca="1">OFFSET(AX45,0,-1)+1</f>
        <v>2</v>
      </c>
      <c r="AY45" s="1297">
        <f ca="1">OFFSET(AY45,0,-1)+1</f>
        <v>3</v>
      </c>
      <c r="AZ45" s="1297"/>
      <c r="BA45" s="749">
        <f ca="1">OFFSET(BA45,0,-2)+1</f>
        <v>4</v>
      </c>
      <c r="BB45" s="737">
        <f ca="1">OFFSET(BB45,0,-1)</f>
        <v>4</v>
      </c>
      <c r="BC45" s="749">
        <f ca="1">OFFSET(BC45,0,-1)+1</f>
        <v>5</v>
      </c>
      <c r="BD45" s="65"/>
      <c r="BE45" s="65"/>
      <c r="BF45" s="65"/>
      <c r="BG45" s="65"/>
      <c r="BH45" s="65"/>
    </row>
    <row r="46" spans="1:60" ht="21" customHeight="1">
      <c r="A46" s="793" t="s">
        <v>263</v>
      </c>
      <c r="B46" s="793"/>
      <c r="C46" s="793"/>
      <c r="D46" s="793"/>
      <c r="E46" s="1287">
        <v>1</v>
      </c>
      <c r="F46" s="793"/>
      <c r="G46" s="793"/>
      <c r="H46" s="793"/>
      <c r="I46" s="793"/>
      <c r="J46" s="793"/>
      <c r="K46" s="793"/>
      <c r="L46" s="794"/>
      <c r="M46" s="433"/>
      <c r="N46" s="433"/>
      <c r="O46" s="433"/>
      <c r="Q46" s="59"/>
      <c r="R46" s="213"/>
      <c r="S46" s="725">
        <f>INDEX(PT_DIFFERENTIATION_NUM_NTAR,MATCH(A46,PT_DIFFERENTIATION_NTAR_ID,0))</f>
        <v>0</v>
      </c>
      <c r="T46" s="64" t="s">
        <v>139</v>
      </c>
      <c r="U46" s="170"/>
      <c r="V46" s="1282"/>
      <c r="W46" s="1282"/>
      <c r="X46" s="1282"/>
      <c r="Y46" s="1282"/>
      <c r="Z46" s="1282"/>
      <c r="AA46" s="1282"/>
      <c r="AB46" s="1282"/>
      <c r="AC46" s="1283"/>
      <c r="AD46" s="1281" t="str">
        <f>INDEX(PT_DIFFERENTIATION_NTAR,MATCH(A46,PT_DIFFERENTIATION_NTAR_ID,0))</f>
        <v/>
      </c>
      <c r="AE46" s="1282"/>
      <c r="AF46" s="1282"/>
      <c r="AG46" s="1282"/>
      <c r="AH46" s="1282"/>
      <c r="AI46" s="1282"/>
      <c r="AJ46" s="1282"/>
      <c r="AK46" s="1282"/>
      <c r="AL46" s="1282"/>
      <c r="AM46" s="1282"/>
      <c r="AN46" s="1282"/>
      <c r="AO46" s="1282"/>
      <c r="AP46" s="1282"/>
      <c r="AQ46" s="1282"/>
      <c r="AR46" s="1282"/>
      <c r="AS46" s="1282"/>
      <c r="AT46" s="1282"/>
      <c r="AU46" s="1282"/>
      <c r="AV46" s="1282"/>
      <c r="AW46" s="1282"/>
      <c r="AX46" s="1282"/>
      <c r="AY46" s="1282"/>
      <c r="AZ46" s="1282"/>
      <c r="BA46" s="1282"/>
      <c r="BB46" s="1283"/>
      <c r="BC46" s="7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3" t="s">
        <v>263</v>
      </c>
      <c r="B47" s="793" t="s">
        <v>264</v>
      </c>
      <c r="C47" s="793"/>
      <c r="D47" s="793"/>
      <c r="E47" s="1288"/>
      <c r="F47" s="1287">
        <v>1</v>
      </c>
      <c r="G47" s="793"/>
      <c r="H47" s="793"/>
      <c r="I47" s="793"/>
      <c r="J47" s="793"/>
      <c r="K47" s="793"/>
      <c r="L47" s="794"/>
      <c r="M47" s="433"/>
      <c r="N47" s="433"/>
      <c r="O47" s="433"/>
      <c r="P47" s="312"/>
      <c r="Q47" s="826"/>
      <c r="R47" s="211"/>
      <c r="S47" s="725" t="str">
        <f>INDEX(PT_DIFFERENTIATION_NUM_TER,MATCH(B47,PT_DIFFERENTIATION_TER_ID,0))</f>
        <v>.</v>
      </c>
      <c r="T47" s="178" t="s">
        <v>471</v>
      </c>
      <c r="U47" s="170"/>
      <c r="V47" s="1282"/>
      <c r="W47" s="1282"/>
      <c r="X47" s="1282"/>
      <c r="Y47" s="1282"/>
      <c r="Z47" s="1282"/>
      <c r="AA47" s="1282"/>
      <c r="AB47" s="1282"/>
      <c r="AC47" s="1283"/>
      <c r="AD47" s="1281" t="str">
        <f>INDEX(PT_DIFFERENTIATION_TER,MATCH(B47,PT_DIFFERENTIATION_TER_ID,0))</f>
        <v/>
      </c>
      <c r="AE47" s="1282"/>
      <c r="AF47" s="1282"/>
      <c r="AG47" s="1282"/>
      <c r="AH47" s="1282"/>
      <c r="AI47" s="1282"/>
      <c r="AJ47" s="1282"/>
      <c r="AK47" s="1282"/>
      <c r="AL47" s="1282"/>
      <c r="AM47" s="1282"/>
      <c r="AN47" s="1282"/>
      <c r="AO47" s="1282"/>
      <c r="AP47" s="1282"/>
      <c r="AQ47" s="1282"/>
      <c r="AR47" s="1282"/>
      <c r="AS47" s="1282"/>
      <c r="AT47" s="1282"/>
      <c r="AU47" s="1282"/>
      <c r="AV47" s="1282"/>
      <c r="AW47" s="1282"/>
      <c r="AX47" s="1282"/>
      <c r="AY47" s="1282"/>
      <c r="AZ47" s="1282"/>
      <c r="BA47" s="1282"/>
      <c r="BB47" s="1283"/>
      <c r="BC47" s="753" t="s">
        <v>472</v>
      </c>
      <c r="BE47" s="66"/>
      <c r="BF47" s="66" t="str">
        <f t="shared" si="3"/>
        <v>Территория действия тарифа</v>
      </c>
      <c r="BG47" s="66"/>
      <c r="BH47" s="66"/>
    </row>
    <row r="48" spans="1:60" ht="33.75" customHeight="1">
      <c r="A48" s="793" t="s">
        <v>263</v>
      </c>
      <c r="B48" s="793" t="s">
        <v>264</v>
      </c>
      <c r="C48" s="793" t="s">
        <v>265</v>
      </c>
      <c r="D48" s="793"/>
      <c r="E48" s="1288"/>
      <c r="F48" s="1288"/>
      <c r="G48" s="1287">
        <v>1</v>
      </c>
      <c r="H48" s="793"/>
      <c r="I48" s="793"/>
      <c r="J48" s="793"/>
      <c r="K48" s="793"/>
      <c r="L48" s="794"/>
      <c r="M48" s="433"/>
      <c r="N48" s="433"/>
      <c r="O48" s="433"/>
      <c r="P48" s="128"/>
      <c r="Q48" s="826"/>
      <c r="R48" s="211"/>
      <c r="S48" s="725" t="str">
        <f>INDEX(PT_DIFFERENTIATION_NUM_CS,MATCH(C48,PT_DIFFERENTIATION_CS_ID,0))</f>
        <v>..</v>
      </c>
      <c r="T48" s="179" t="s">
        <v>2065</v>
      </c>
      <c r="U48" s="170"/>
      <c r="V48" s="1282"/>
      <c r="W48" s="1282"/>
      <c r="X48" s="1282"/>
      <c r="Y48" s="1282"/>
      <c r="Z48" s="1282"/>
      <c r="AA48" s="1282"/>
      <c r="AB48" s="1282"/>
      <c r="AC48" s="1283"/>
      <c r="AD48" s="1281" t="str">
        <f>INDEX(PT_DIFFERENTIATION_CS,MATCH(C48,PT_DIFFERENTIATION_CS_ID,0))</f>
        <v/>
      </c>
      <c r="AE48" s="1282"/>
      <c r="AF48" s="1282"/>
      <c r="AG48" s="1282"/>
      <c r="AH48" s="1282"/>
      <c r="AI48" s="1282"/>
      <c r="AJ48" s="1282"/>
      <c r="AK48" s="1282"/>
      <c r="AL48" s="1282"/>
      <c r="AM48" s="1282"/>
      <c r="AN48" s="1282"/>
      <c r="AO48" s="1282"/>
      <c r="AP48" s="1282"/>
      <c r="AQ48" s="1282"/>
      <c r="AR48" s="1282"/>
      <c r="AS48" s="1282"/>
      <c r="AT48" s="1282"/>
      <c r="AU48" s="1282"/>
      <c r="AV48" s="1282"/>
      <c r="AW48" s="1282"/>
      <c r="AX48" s="1282"/>
      <c r="AY48" s="1282"/>
      <c r="AZ48" s="1282"/>
      <c r="BA48" s="1282"/>
      <c r="BB48" s="1283"/>
      <c r="BC48" s="753" t="s">
        <v>2066</v>
      </c>
      <c r="BE48" s="66"/>
      <c r="BF48" s="66" t="str">
        <f t="shared" si="3"/>
        <v>Наименование централизованной системы горячего водоснабжения</v>
      </c>
      <c r="BG48" s="66"/>
      <c r="BH48" s="66"/>
    </row>
    <row r="49" spans="1:60" s="65" customFormat="1" ht="0" hidden="1" customHeight="1">
      <c r="A49" s="142" t="s">
        <v>263</v>
      </c>
      <c r="B49" s="142" t="s">
        <v>264</v>
      </c>
      <c r="C49" s="142" t="s">
        <v>265</v>
      </c>
      <c r="D49" s="142" t="s">
        <v>2075</v>
      </c>
      <c r="E49" s="1288"/>
      <c r="F49" s="1288"/>
      <c r="G49" s="1288"/>
      <c r="H49" s="1287">
        <v>1</v>
      </c>
      <c r="I49" s="142"/>
      <c r="J49" s="142"/>
      <c r="K49" s="142"/>
      <c r="L49" s="355"/>
      <c r="M49" s="304"/>
      <c r="N49" s="304"/>
      <c r="O49" s="304"/>
      <c r="P49" s="844"/>
      <c r="Q49" s="845"/>
      <c r="R49" s="215"/>
      <c r="S49" s="371"/>
      <c r="T49" s="846"/>
      <c r="U49" s="804"/>
      <c r="V49" s="1317"/>
      <c r="W49" s="1317"/>
      <c r="X49" s="1317"/>
      <c r="Y49" s="1317"/>
      <c r="Z49" s="1317"/>
      <c r="AA49" s="1317"/>
      <c r="AB49" s="1317"/>
      <c r="AC49" s="1318"/>
      <c r="AD49" s="1316"/>
      <c r="AE49" s="1317"/>
      <c r="AF49" s="1317"/>
      <c r="AG49" s="1317"/>
      <c r="AH49" s="1317"/>
      <c r="AI49" s="1317"/>
      <c r="AJ49" s="1317"/>
      <c r="AK49" s="1317"/>
      <c r="AL49" s="1317"/>
      <c r="AM49" s="1317"/>
      <c r="AN49" s="1317"/>
      <c r="AO49" s="1317"/>
      <c r="AP49" s="1317"/>
      <c r="AQ49" s="1317"/>
      <c r="AR49" s="1317"/>
      <c r="AS49" s="1317"/>
      <c r="AT49" s="1317"/>
      <c r="AU49" s="1317"/>
      <c r="AV49" s="1317"/>
      <c r="AW49" s="1317"/>
      <c r="AX49" s="1317"/>
      <c r="AY49" s="1317"/>
      <c r="AZ49" s="1317"/>
      <c r="BA49" s="1317"/>
      <c r="BB49" s="1318"/>
      <c r="BC49" s="805" t="s">
        <v>476</v>
      </c>
      <c r="BE49" s="66"/>
      <c r="BF49" s="66" t="str">
        <f t="shared" si="3"/>
        <v/>
      </c>
      <c r="BG49" s="66"/>
      <c r="BH49" s="66"/>
    </row>
    <row r="50" spans="1:60" s="65" customFormat="1" ht="0" hidden="1" customHeight="1">
      <c r="A50" s="142" t="s">
        <v>263</v>
      </c>
      <c r="B50" s="142" t="s">
        <v>264</v>
      </c>
      <c r="C50" s="142" t="s">
        <v>265</v>
      </c>
      <c r="D50" s="142" t="s">
        <v>2075</v>
      </c>
      <c r="E50" s="1288"/>
      <c r="F50" s="1288"/>
      <c r="G50" s="1288"/>
      <c r="H50" s="1288"/>
      <c r="I50" s="1289" t="str">
        <f>S49&amp;".1"</f>
        <v>.1</v>
      </c>
      <c r="J50" s="142"/>
      <c r="K50" s="142"/>
      <c r="L50" s="355" t="s">
        <v>477</v>
      </c>
      <c r="M50" s="228"/>
      <c r="N50" s="228"/>
      <c r="O50" s="228"/>
      <c r="P50" s="1211">
        <v>1</v>
      </c>
      <c r="Q50" s="119"/>
      <c r="R50" s="214"/>
      <c r="S50" s="371"/>
      <c r="T50" s="803"/>
      <c r="U50" s="804"/>
      <c r="V50" s="1317"/>
      <c r="W50" s="1317"/>
      <c r="X50" s="1317"/>
      <c r="Y50" s="1317"/>
      <c r="Z50" s="1317"/>
      <c r="AA50" s="1317"/>
      <c r="AB50" s="1317"/>
      <c r="AC50" s="1318"/>
      <c r="AD50" s="1316"/>
      <c r="AE50" s="1317"/>
      <c r="AF50" s="1317"/>
      <c r="AG50" s="1317"/>
      <c r="AH50" s="1317"/>
      <c r="AI50" s="1317"/>
      <c r="AJ50" s="1317"/>
      <c r="AK50" s="1317"/>
      <c r="AL50" s="1317"/>
      <c r="AM50" s="1317"/>
      <c r="AN50" s="1317"/>
      <c r="AO50" s="1317"/>
      <c r="AP50" s="1317"/>
      <c r="AQ50" s="1317"/>
      <c r="AR50" s="1317"/>
      <c r="AS50" s="1317"/>
      <c r="AT50" s="1317"/>
      <c r="AU50" s="1317"/>
      <c r="AV50" s="1317"/>
      <c r="AW50" s="1317"/>
      <c r="AX50" s="1317"/>
      <c r="AY50" s="1317"/>
      <c r="AZ50" s="1317"/>
      <c r="BA50" s="1317"/>
      <c r="BB50" s="1318"/>
      <c r="BC50" s="805"/>
      <c r="BE50" s="66"/>
      <c r="BF50" s="66" t="str">
        <f t="shared" si="3"/>
        <v/>
      </c>
      <c r="BG50" s="66"/>
      <c r="BH50" s="66"/>
    </row>
    <row r="51" spans="1:60" s="65" customFormat="1" ht="0" hidden="1" customHeight="1">
      <c r="A51" s="142" t="s">
        <v>263</v>
      </c>
      <c r="B51" s="142" t="s">
        <v>264</v>
      </c>
      <c r="C51" s="142" t="s">
        <v>265</v>
      </c>
      <c r="D51" s="142" t="s">
        <v>2075</v>
      </c>
      <c r="E51" s="1288"/>
      <c r="F51" s="1288"/>
      <c r="G51" s="1288"/>
      <c r="H51" s="1288"/>
      <c r="I51" s="1290"/>
      <c r="J51" s="1289" t="str">
        <f>S49&amp;".1"</f>
        <v>.1</v>
      </c>
      <c r="K51" s="142"/>
      <c r="L51" s="355"/>
      <c r="M51" s="228"/>
      <c r="N51" s="228"/>
      <c r="O51" s="228"/>
      <c r="P51" s="1211"/>
      <c r="Q51" s="1211">
        <v>1</v>
      </c>
      <c r="R51" s="215"/>
      <c r="S51" s="371"/>
      <c r="T51" s="818"/>
      <c r="U51" s="804"/>
      <c r="V51" s="1317"/>
      <c r="W51" s="1317"/>
      <c r="X51" s="1317"/>
      <c r="Y51" s="1317"/>
      <c r="Z51" s="1317"/>
      <c r="AA51" s="1317"/>
      <c r="AB51" s="1317"/>
      <c r="AC51" s="1318"/>
      <c r="AD51" s="1316"/>
      <c r="AE51" s="1317"/>
      <c r="AF51" s="1317"/>
      <c r="AG51" s="1317"/>
      <c r="AH51" s="1317"/>
      <c r="AI51" s="1317"/>
      <c r="AJ51" s="1317"/>
      <c r="AK51" s="1317"/>
      <c r="AL51" s="1317"/>
      <c r="AM51" s="1317"/>
      <c r="AN51" s="1402"/>
      <c r="AO51" s="1402"/>
      <c r="AP51" s="1317"/>
      <c r="AQ51" s="1317"/>
      <c r="AR51" s="1317"/>
      <c r="AS51" s="1317"/>
      <c r="AT51" s="1317"/>
      <c r="AU51" s="1317"/>
      <c r="AV51" s="1317"/>
      <c r="AW51" s="1317"/>
      <c r="AX51" s="1317"/>
      <c r="AY51" s="1317"/>
      <c r="AZ51" s="1317"/>
      <c r="BA51" s="1317"/>
      <c r="BB51" s="1318"/>
      <c r="BC51" s="805"/>
      <c r="BE51" s="66"/>
      <c r="BF51" s="66" t="str">
        <f t="shared" si="3"/>
        <v/>
      </c>
      <c r="BG51" s="66"/>
      <c r="BH51" s="66"/>
    </row>
    <row r="52" spans="1:60" ht="11.25" customHeight="1">
      <c r="A52" s="793" t="s">
        <v>263</v>
      </c>
      <c r="B52" s="793" t="s">
        <v>264</v>
      </c>
      <c r="C52" s="793" t="s">
        <v>265</v>
      </c>
      <c r="D52" s="793" t="s">
        <v>2075</v>
      </c>
      <c r="E52" s="1288"/>
      <c r="F52" s="1288"/>
      <c r="G52" s="1288"/>
      <c r="H52" s="1288"/>
      <c r="I52" s="1290"/>
      <c r="J52" s="1290"/>
      <c r="K52" s="1289" t="str">
        <f>S48&amp;".1"</f>
        <v>...1</v>
      </c>
      <c r="L52" s="794"/>
      <c r="P52" s="1211"/>
      <c r="Q52" s="1211"/>
      <c r="R52" s="215">
        <v>1</v>
      </c>
      <c r="S52" s="1337" t="str">
        <f>$K52</f>
        <v>...1</v>
      </c>
      <c r="T52" s="1396"/>
      <c r="U52" s="170"/>
      <c r="V52" s="317"/>
      <c r="W52" s="752"/>
      <c r="X52" s="317"/>
      <c r="Y52" s="752"/>
      <c r="Z52" s="974"/>
      <c r="AA52" s="308" t="s">
        <v>59</v>
      </c>
      <c r="AB52" s="974"/>
      <c r="AC52" s="308" t="s">
        <v>59</v>
      </c>
      <c r="AD52" s="1158" t="s">
        <v>59</v>
      </c>
      <c r="AE52" s="1333"/>
      <c r="AF52" s="1171">
        <v>1</v>
      </c>
      <c r="AG52" s="1395"/>
      <c r="AH52" s="1092" t="s">
        <v>59</v>
      </c>
      <c r="AI52" s="1333"/>
      <c r="AJ52" s="1171">
        <v>1</v>
      </c>
      <c r="AK52" s="1394" t="s">
        <v>18</v>
      </c>
      <c r="AL52" s="1092" t="s">
        <v>59</v>
      </c>
      <c r="AM52" s="1146"/>
      <c r="AN52" s="1171">
        <v>1</v>
      </c>
      <c r="AO52" s="1399"/>
      <c r="AP52" s="1400" t="s">
        <v>59</v>
      </c>
      <c r="AQ52" s="181"/>
      <c r="AR52" s="280">
        <v>1</v>
      </c>
      <c r="AS52" s="116" t="s">
        <v>18</v>
      </c>
      <c r="AT52" s="317"/>
      <c r="AU52" s="752"/>
      <c r="AV52" s="317"/>
      <c r="AW52" s="752"/>
      <c r="AX52" s="974"/>
      <c r="AY52" s="308" t="s">
        <v>59</v>
      </c>
      <c r="AZ52" s="974"/>
      <c r="BA52" s="308" t="s">
        <v>59</v>
      </c>
      <c r="BB52" s="790"/>
      <c r="BC52" s="1309" t="s">
        <v>1705</v>
      </c>
      <c r="BE52" s="66"/>
      <c r="BF52" s="66" t="str">
        <f t="shared" si="3"/>
        <v/>
      </c>
      <c r="BG52" s="66"/>
      <c r="BH52" s="66"/>
    </row>
    <row r="53" spans="1:60" ht="11.25" customHeight="1">
      <c r="A53" s="793"/>
      <c r="B53" s="793"/>
      <c r="C53" s="793"/>
      <c r="D53" s="793"/>
      <c r="E53" s="1288"/>
      <c r="F53" s="1288"/>
      <c r="G53" s="1288"/>
      <c r="H53" s="1288"/>
      <c r="I53" s="1290"/>
      <c r="J53" s="1290"/>
      <c r="K53" s="1289"/>
      <c r="L53" s="794"/>
      <c r="P53" s="1211"/>
      <c r="Q53" s="1211"/>
      <c r="R53" s="215"/>
      <c r="S53" s="1338"/>
      <c r="T53" s="1397"/>
      <c r="U53" s="170"/>
      <c r="V53" s="813"/>
      <c r="W53" s="843"/>
      <c r="X53" s="813"/>
      <c r="Y53" s="843"/>
      <c r="Z53" s="813"/>
      <c r="AA53" s="813"/>
      <c r="AB53" s="813"/>
      <c r="AC53" s="813"/>
      <c r="AD53" s="1159"/>
      <c r="AE53" s="1333"/>
      <c r="AF53" s="1171"/>
      <c r="AG53" s="1395"/>
      <c r="AH53" s="1092"/>
      <c r="AI53" s="1333"/>
      <c r="AJ53" s="1171"/>
      <c r="AK53" s="1394"/>
      <c r="AL53" s="1092"/>
      <c r="AM53" s="1151"/>
      <c r="AN53" s="1171"/>
      <c r="AO53" s="1399"/>
      <c r="AP53" s="1401"/>
      <c r="AQ53" s="186"/>
      <c r="AR53" s="50"/>
      <c r="AS53" s="50" t="s">
        <v>1706</v>
      </c>
      <c r="AT53" s="813"/>
      <c r="AU53" s="843"/>
      <c r="AV53" s="813"/>
      <c r="AW53" s="843"/>
      <c r="AX53" s="813"/>
      <c r="AY53" s="813"/>
      <c r="AZ53" s="813"/>
      <c r="BA53" s="813"/>
      <c r="BB53" s="817"/>
      <c r="BC53" s="1310"/>
      <c r="BE53" s="66"/>
      <c r="BF53" s="66"/>
      <c r="BG53" s="66"/>
      <c r="BH53" s="66"/>
    </row>
    <row r="54" spans="1:60" ht="11.25" customHeight="1">
      <c r="A54" s="793" t="s">
        <v>263</v>
      </c>
      <c r="B54" s="793"/>
      <c r="C54" s="793"/>
      <c r="D54" s="793"/>
      <c r="E54" s="1288"/>
      <c r="F54" s="1288"/>
      <c r="G54" s="1288"/>
      <c r="H54" s="1288"/>
      <c r="I54" s="1290"/>
      <c r="J54" s="1290"/>
      <c r="K54" s="1289"/>
      <c r="L54" s="794"/>
      <c r="P54" s="1211"/>
      <c r="Q54" s="1211"/>
      <c r="R54" s="215"/>
      <c r="S54" s="1338"/>
      <c r="T54" s="1397"/>
      <c r="U54" s="170"/>
      <c r="V54" s="813"/>
      <c r="W54" s="843"/>
      <c r="X54" s="813"/>
      <c r="Y54" s="843"/>
      <c r="Z54" s="813"/>
      <c r="AA54" s="813"/>
      <c r="AB54" s="813"/>
      <c r="AC54" s="813"/>
      <c r="AD54" s="1159"/>
      <c r="AE54" s="1333"/>
      <c r="AF54" s="1171"/>
      <c r="AG54" s="1395"/>
      <c r="AH54" s="1092"/>
      <c r="AI54" s="1333"/>
      <c r="AJ54" s="1171"/>
      <c r="AK54" s="1394"/>
      <c r="AL54" s="1092"/>
      <c r="AM54" s="186"/>
      <c r="AN54" s="847"/>
      <c r="AO54" s="847" t="s">
        <v>1707</v>
      </c>
      <c r="AP54" s="50"/>
      <c r="AQ54" s="50"/>
      <c r="AR54" s="50"/>
      <c r="AS54" s="813"/>
      <c r="AT54" s="813"/>
      <c r="AU54" s="843"/>
      <c r="AV54" s="813"/>
      <c r="AW54" s="843"/>
      <c r="AX54" s="813"/>
      <c r="AY54" s="813"/>
      <c r="AZ54" s="813"/>
      <c r="BA54" s="813"/>
      <c r="BB54" s="817"/>
      <c r="BC54" s="1310"/>
      <c r="BE54" s="66"/>
      <c r="BF54" s="66"/>
      <c r="BG54" s="66"/>
      <c r="BH54" s="66"/>
    </row>
    <row r="55" spans="1:60" ht="11.25" customHeight="1">
      <c r="A55" s="793" t="s">
        <v>263</v>
      </c>
      <c r="B55" s="793"/>
      <c r="C55" s="793"/>
      <c r="D55" s="793"/>
      <c r="E55" s="1288"/>
      <c r="F55" s="1288"/>
      <c r="G55" s="1288"/>
      <c r="H55" s="1288"/>
      <c r="I55" s="1290"/>
      <c r="J55" s="1290"/>
      <c r="K55" s="1289"/>
      <c r="L55" s="794"/>
      <c r="P55" s="1211"/>
      <c r="Q55" s="1211"/>
      <c r="R55" s="215"/>
      <c r="S55" s="1338"/>
      <c r="T55" s="1397"/>
      <c r="U55" s="170"/>
      <c r="V55" s="813"/>
      <c r="W55" s="843"/>
      <c r="X55" s="813"/>
      <c r="Y55" s="843"/>
      <c r="Z55" s="813"/>
      <c r="AA55" s="813"/>
      <c r="AB55" s="813"/>
      <c r="AC55" s="813"/>
      <c r="AD55" s="1159"/>
      <c r="AE55" s="1333"/>
      <c r="AF55" s="1171"/>
      <c r="AG55" s="1395"/>
      <c r="AH55" s="1092"/>
      <c r="AI55" s="168"/>
      <c r="AJ55" s="107"/>
      <c r="AK55" s="183" t="s">
        <v>1708</v>
      </c>
      <c r="AL55" s="813"/>
      <c r="AM55" s="813"/>
      <c r="AN55" s="813"/>
      <c r="AO55" s="813"/>
      <c r="AP55" s="813"/>
      <c r="AQ55" s="813"/>
      <c r="AR55" s="813"/>
      <c r="AS55" s="813"/>
      <c r="AT55" s="813"/>
      <c r="AU55" s="843"/>
      <c r="AV55" s="813"/>
      <c r="AW55" s="843"/>
      <c r="AX55" s="813"/>
      <c r="AY55" s="813"/>
      <c r="AZ55" s="813"/>
      <c r="BA55" s="813"/>
      <c r="BB55" s="817"/>
      <c r="BC55" s="1310"/>
      <c r="BE55" s="66"/>
      <c r="BF55" s="66"/>
      <c r="BG55" s="66"/>
      <c r="BH55" s="66"/>
    </row>
    <row r="56" spans="1:60" ht="11.25" customHeight="1">
      <c r="A56" s="793" t="s">
        <v>263</v>
      </c>
      <c r="B56" s="793" t="s">
        <v>264</v>
      </c>
      <c r="C56" s="793" t="s">
        <v>265</v>
      </c>
      <c r="D56" s="793" t="s">
        <v>2075</v>
      </c>
      <c r="E56" s="1288"/>
      <c r="F56" s="1288"/>
      <c r="G56" s="1288"/>
      <c r="H56" s="1288"/>
      <c r="I56" s="1290"/>
      <c r="J56" s="1290"/>
      <c r="K56" s="1289"/>
      <c r="L56" s="794"/>
      <c r="P56" s="1211"/>
      <c r="Q56" s="1211"/>
      <c r="R56" s="215"/>
      <c r="S56" s="1339"/>
      <c r="T56" s="1398"/>
      <c r="U56" s="170"/>
      <c r="V56" s="813"/>
      <c r="W56" s="814" t="str">
        <f>Z52&amp;"-"&amp;AB52</f>
        <v>-</v>
      </c>
      <c r="X56" s="813"/>
      <c r="Y56" s="814" t="str">
        <f>AB52&amp;"-"&amp;AD52</f>
        <v>-да</v>
      </c>
      <c r="Z56" s="813"/>
      <c r="AA56" s="813"/>
      <c r="AB56" s="813"/>
      <c r="AC56" s="813"/>
      <c r="AD56" s="1098"/>
      <c r="AE56" s="182"/>
      <c r="AF56" s="184"/>
      <c r="AG56" s="50" t="s">
        <v>1709</v>
      </c>
      <c r="AH56" s="813"/>
      <c r="AI56" s="813"/>
      <c r="AJ56" s="813"/>
      <c r="AK56" s="813"/>
      <c r="AL56" s="813"/>
      <c r="AM56" s="813"/>
      <c r="AN56" s="813"/>
      <c r="AO56" s="813"/>
      <c r="AP56" s="813"/>
      <c r="AQ56" s="813"/>
      <c r="AR56" s="813"/>
      <c r="AS56" s="813"/>
      <c r="AT56" s="813"/>
      <c r="AU56" s="814" t="str">
        <f>AX52&amp;"-"&amp;AZ52</f>
        <v>-</v>
      </c>
      <c r="AV56" s="813"/>
      <c r="AW56" s="814" t="str">
        <f>AZ52&amp;"-"&amp;BB52</f>
        <v>-</v>
      </c>
      <c r="AX56" s="813"/>
      <c r="AY56" s="813"/>
      <c r="AZ56" s="813"/>
      <c r="BA56" s="813"/>
      <c r="BB56" s="816" t="str">
        <f>BE52&amp;"-"&amp;BG52</f>
        <v>-</v>
      </c>
      <c r="BC56" s="1310"/>
      <c r="BE56" s="66"/>
      <c r="BF56" s="66" t="str">
        <f t="shared" ref="BF56:BF63" si="4">IF(T56="","",T56)</f>
        <v/>
      </c>
      <c r="BG56" s="66"/>
      <c r="BH56" s="66"/>
    </row>
    <row r="57" spans="1:60" ht="11.25" customHeight="1">
      <c r="A57" s="793" t="s">
        <v>263</v>
      </c>
      <c r="B57" s="793" t="s">
        <v>264</v>
      </c>
      <c r="C57" s="793" t="s">
        <v>265</v>
      </c>
      <c r="D57" s="793" t="s">
        <v>2075</v>
      </c>
      <c r="E57" s="1288"/>
      <c r="F57" s="1288"/>
      <c r="G57" s="1288"/>
      <c r="H57" s="1288"/>
      <c r="I57" s="1290"/>
      <c r="J57" s="1289"/>
      <c r="K57" s="793"/>
      <c r="L57" s="794"/>
      <c r="P57" s="1211"/>
      <c r="Q57" s="1211"/>
      <c r="R57" s="214"/>
      <c r="S57" s="767"/>
      <c r="T57" s="165" t="s">
        <v>551</v>
      </c>
      <c r="U57" s="221"/>
      <c r="V57" s="221"/>
      <c r="W57" s="221"/>
      <c r="X57" s="221"/>
      <c r="Y57" s="221"/>
      <c r="Z57" s="221"/>
      <c r="AA57" s="221"/>
      <c r="AB57" s="221"/>
      <c r="AC57" s="195"/>
      <c r="AD57" s="85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311"/>
      <c r="BE57" s="66"/>
      <c r="BF57" s="66" t="str">
        <f t="shared" si="4"/>
        <v>Добавить строку</v>
      </c>
      <c r="BG57" s="66"/>
      <c r="BH57" s="66"/>
    </row>
    <row r="58" spans="1:60" s="65" customFormat="1" ht="0" hidden="1" customHeight="1">
      <c r="A58" s="142" t="s">
        <v>263</v>
      </c>
      <c r="B58" s="142" t="s">
        <v>264</v>
      </c>
      <c r="C58" s="142" t="s">
        <v>265</v>
      </c>
      <c r="D58" s="142" t="s">
        <v>2075</v>
      </c>
      <c r="E58" s="1288"/>
      <c r="F58" s="1288"/>
      <c r="G58" s="1288"/>
      <c r="H58" s="1288"/>
      <c r="I58" s="1289"/>
      <c r="J58" s="142"/>
      <c r="K58" s="142"/>
      <c r="L58" s="355"/>
      <c r="M58" s="228"/>
      <c r="N58" s="228"/>
      <c r="O58" s="228"/>
      <c r="P58" s="1211"/>
      <c r="Q58" s="119"/>
      <c r="R58" s="214"/>
      <c r="S58" s="806"/>
      <c r="T58" s="807"/>
      <c r="U58" s="808"/>
      <c r="V58" s="808"/>
      <c r="W58" s="808"/>
      <c r="X58" s="808"/>
      <c r="Y58" s="808"/>
      <c r="Z58" s="808"/>
      <c r="AA58" s="808"/>
      <c r="AB58" s="808"/>
      <c r="AC58" s="808"/>
      <c r="AD58" s="808"/>
      <c r="AE58" s="808"/>
      <c r="AF58" s="808"/>
      <c r="AG58" s="808"/>
      <c r="AH58" s="808"/>
      <c r="AI58" s="808"/>
      <c r="AJ58" s="808"/>
      <c r="AK58" s="808"/>
      <c r="AL58" s="808"/>
      <c r="AM58" s="808"/>
      <c r="AN58" s="808"/>
      <c r="AO58" s="808"/>
      <c r="AP58" s="808"/>
      <c r="AQ58" s="808"/>
      <c r="AR58" s="808"/>
      <c r="AS58" s="808"/>
      <c r="AT58" s="808"/>
      <c r="AU58" s="808"/>
      <c r="AV58" s="808"/>
      <c r="AW58" s="808"/>
      <c r="AX58" s="808"/>
      <c r="AY58" s="808"/>
      <c r="AZ58" s="808"/>
      <c r="BA58" s="808"/>
      <c r="BB58" s="808"/>
      <c r="BC58" s="809"/>
      <c r="BE58" s="66"/>
      <c r="BF58" s="66" t="str">
        <f t="shared" si="4"/>
        <v/>
      </c>
      <c r="BG58" s="66"/>
      <c r="BH58" s="66"/>
    </row>
    <row r="59" spans="1:60" s="65" customFormat="1" ht="0" hidden="1" customHeight="1">
      <c r="A59" s="142" t="s">
        <v>263</v>
      </c>
      <c r="B59" s="142" t="s">
        <v>264</v>
      </c>
      <c r="C59" s="142" t="s">
        <v>265</v>
      </c>
      <c r="D59" s="142" t="s">
        <v>2075</v>
      </c>
      <c r="E59" s="1288"/>
      <c r="F59" s="1288"/>
      <c r="G59" s="1288"/>
      <c r="H59" s="1287"/>
      <c r="I59" s="142"/>
      <c r="J59" s="142"/>
      <c r="K59" s="142"/>
      <c r="L59" s="355"/>
      <c r="M59" s="304"/>
      <c r="N59" s="304"/>
      <c r="P59" s="101"/>
      <c r="Q59" s="780"/>
      <c r="R59" s="820"/>
      <c r="S59" s="806"/>
      <c r="T59" s="807"/>
      <c r="U59" s="808"/>
      <c r="V59" s="808"/>
      <c r="W59" s="808"/>
      <c r="X59" s="808"/>
      <c r="Y59" s="808"/>
      <c r="Z59" s="808"/>
      <c r="AA59" s="808"/>
      <c r="AB59" s="808"/>
      <c r="AC59" s="808"/>
      <c r="AD59" s="808"/>
      <c r="AE59" s="808"/>
      <c r="AF59" s="808"/>
      <c r="AG59" s="808"/>
      <c r="AH59" s="808"/>
      <c r="AI59" s="808"/>
      <c r="AJ59" s="808"/>
      <c r="AK59" s="808"/>
      <c r="AL59" s="808"/>
      <c r="AM59" s="808"/>
      <c r="AN59" s="808"/>
      <c r="AO59" s="808"/>
      <c r="AP59" s="808"/>
      <c r="AQ59" s="808"/>
      <c r="AR59" s="808"/>
      <c r="AS59" s="808"/>
      <c r="AT59" s="808"/>
      <c r="AU59" s="808"/>
      <c r="AV59" s="808"/>
      <c r="AW59" s="808"/>
      <c r="AX59" s="808"/>
      <c r="AY59" s="808"/>
      <c r="AZ59" s="808"/>
      <c r="BA59" s="808"/>
      <c r="BB59" s="808"/>
      <c r="BC59" s="809"/>
      <c r="BE59" s="66"/>
      <c r="BF59" s="66" t="str">
        <f t="shared" si="4"/>
        <v/>
      </c>
      <c r="BG59" s="66"/>
      <c r="BH59" s="66"/>
    </row>
    <row r="60" spans="1:60" s="65" customFormat="1" ht="0" hidden="1" customHeight="1">
      <c r="A60" s="142" t="s">
        <v>263</v>
      </c>
      <c r="B60" s="142" t="s">
        <v>264</v>
      </c>
      <c r="C60" s="142" t="s">
        <v>265</v>
      </c>
      <c r="D60" s="142"/>
      <c r="E60" s="1288"/>
      <c r="F60" s="1288"/>
      <c r="G60" s="1287"/>
      <c r="H60" s="142"/>
      <c r="I60" s="142"/>
      <c r="J60" s="142"/>
      <c r="K60" s="142"/>
      <c r="L60" s="355"/>
      <c r="M60" s="304"/>
      <c r="N60" s="304"/>
      <c r="P60" s="101"/>
      <c r="Q60" s="780"/>
      <c r="R60" s="101"/>
      <c r="S60" s="785"/>
      <c r="T60" s="787"/>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23"/>
      <c r="BB60" s="323"/>
      <c r="BC60" s="323"/>
      <c r="BE60" s="66"/>
      <c r="BF60" s="66" t="str">
        <f t="shared" si="4"/>
        <v/>
      </c>
      <c r="BG60" s="66"/>
      <c r="BH60" s="66"/>
    </row>
    <row r="61" spans="1:60" s="65" customFormat="1" ht="0" hidden="1" customHeight="1">
      <c r="A61" s="142" t="s">
        <v>263</v>
      </c>
      <c r="B61" s="142" t="s">
        <v>264</v>
      </c>
      <c r="C61" s="142"/>
      <c r="D61" s="142"/>
      <c r="E61" s="1288"/>
      <c r="F61" s="1287"/>
      <c r="G61" s="142"/>
      <c r="H61" s="142"/>
      <c r="I61" s="142"/>
      <c r="J61" s="142"/>
      <c r="K61" s="142"/>
      <c r="L61" s="355"/>
      <c r="M61" s="784"/>
      <c r="N61" s="784"/>
      <c r="P61" s="101"/>
      <c r="Q61" s="780"/>
      <c r="R61" s="101"/>
      <c r="S61" s="785"/>
      <c r="T61" s="787" t="s">
        <v>445</v>
      </c>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c r="BA61" s="323"/>
      <c r="BB61" s="323"/>
      <c r="BC61" s="323"/>
      <c r="BE61" s="66"/>
      <c r="BF61" s="66" t="str">
        <f t="shared" si="4"/>
        <v>Добавить централизованную систему для дифференциации</v>
      </c>
      <c r="BG61" s="66"/>
      <c r="BH61" s="66"/>
    </row>
    <row r="62" spans="1:60" s="65" customFormat="1" ht="0" hidden="1" customHeight="1">
      <c r="A62" s="142" t="s">
        <v>263</v>
      </c>
      <c r="B62" s="142"/>
      <c r="C62" s="142"/>
      <c r="D62" s="142"/>
      <c r="E62" s="1287"/>
      <c r="F62" s="142"/>
      <c r="G62" s="142"/>
      <c r="H62" s="142"/>
      <c r="I62" s="142"/>
      <c r="J62" s="142"/>
      <c r="K62" s="142"/>
      <c r="L62" s="355"/>
      <c r="M62" s="784"/>
      <c r="N62" s="784"/>
      <c r="P62" s="101"/>
      <c r="Q62" s="780"/>
      <c r="R62" s="101"/>
      <c r="S62" s="785"/>
      <c r="T62" s="787" t="s">
        <v>446</v>
      </c>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4"/>
      <c r="N63" s="784"/>
      <c r="P63" s="101"/>
      <c r="Q63" s="780"/>
      <c r="R63" s="101"/>
      <c r="S63" s="785"/>
      <c r="T63" s="787" t="s">
        <v>447</v>
      </c>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E63" s="66"/>
      <c r="BF63" s="66" t="str">
        <f t="shared" si="4"/>
        <v>Добавить наименование тарифа</v>
      </c>
      <c r="BG63" s="66"/>
      <c r="BH63" s="66"/>
    </row>
    <row r="64" spans="1:60" ht="11.25" hidden="1" customHeight="1">
      <c r="M64" s="60"/>
      <c r="N64" s="60"/>
      <c r="O64" s="60"/>
      <c r="P64" s="60"/>
      <c r="Q64" s="60"/>
      <c r="R64" s="9"/>
      <c r="S64" s="9"/>
      <c r="BD64" s="9"/>
      <c r="BE64" s="9"/>
      <c r="BF64" s="9"/>
      <c r="BG64" s="9"/>
      <c r="BH64" s="9"/>
    </row>
    <row r="65" spans="15:55" ht="18.75" hidden="1" customHeight="1">
      <c r="O65" s="60"/>
      <c r="S65" s="204" t="s">
        <v>519</v>
      </c>
      <c r="T65" s="1286" t="s">
        <v>1720</v>
      </c>
      <c r="U65" s="1286"/>
      <c r="V65" s="1286"/>
      <c r="W65" s="1286"/>
      <c r="X65" s="1286"/>
      <c r="Y65" s="1286"/>
      <c r="Z65" s="1286"/>
      <c r="AA65" s="1286"/>
      <c r="AB65" s="1286"/>
      <c r="AC65" s="1286"/>
      <c r="AD65" s="1286"/>
      <c r="AE65" s="1286"/>
      <c r="AF65" s="1286"/>
      <c r="AG65" s="1286"/>
      <c r="AH65" s="1286"/>
      <c r="AI65" s="1286"/>
      <c r="AJ65" s="1286"/>
      <c r="AK65" s="1286"/>
      <c r="AL65" s="1286"/>
      <c r="AM65" s="1286"/>
      <c r="AN65" s="1286"/>
      <c r="AO65" s="1286"/>
      <c r="AP65" s="1286"/>
      <c r="AQ65" s="1286"/>
      <c r="AR65" s="1286"/>
      <c r="AS65" s="1286"/>
      <c r="AT65" s="1286"/>
      <c r="AU65" s="1286"/>
      <c r="AV65" s="1286"/>
      <c r="AW65" s="1286"/>
      <c r="AX65" s="1286"/>
      <c r="AY65" s="1286"/>
      <c r="AZ65" s="1286"/>
      <c r="BA65" s="1286"/>
      <c r="BB65" s="1286"/>
      <c r="BC65" s="1286"/>
    </row>
    <row r="66" spans="15:55" ht="14.25" hidden="1"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hidden="1" customHeight="1">
      <c r="O67" s="60"/>
      <c r="S67" s="204" t="s">
        <v>519</v>
      </c>
      <c r="T67" s="1286" t="s">
        <v>1721</v>
      </c>
      <c r="U67" s="1286"/>
      <c r="V67" s="1286"/>
      <c r="W67" s="1286"/>
      <c r="X67" s="1286"/>
      <c r="Y67" s="1286"/>
      <c r="Z67" s="1286"/>
      <c r="AA67" s="1286"/>
      <c r="AB67" s="1286"/>
      <c r="AC67" s="1286"/>
      <c r="AD67" s="1286"/>
      <c r="AE67" s="1286"/>
      <c r="AF67" s="1286"/>
      <c r="AG67" s="1286"/>
      <c r="AH67" s="1286"/>
      <c r="AI67" s="1286"/>
      <c r="AJ67" s="1286"/>
      <c r="AK67" s="1286"/>
      <c r="AL67" s="1286"/>
      <c r="AM67" s="1286"/>
      <c r="AN67" s="1286"/>
      <c r="AO67" s="1286"/>
      <c r="AP67" s="1286"/>
      <c r="AQ67" s="1286"/>
      <c r="AR67" s="1286"/>
      <c r="AS67" s="1286"/>
      <c r="AT67" s="1286"/>
      <c r="AU67" s="1286"/>
      <c r="AV67" s="1286"/>
      <c r="AW67" s="1286"/>
      <c r="AX67" s="1286"/>
      <c r="AY67" s="1286"/>
      <c r="AZ67" s="1286"/>
      <c r="BA67" s="1286"/>
      <c r="BB67" s="1286"/>
      <c r="BC67" s="1286"/>
    </row>
    <row r="68" spans="15:55" ht="14.25" customHeight="1">
      <c r="O68" s="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32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32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32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32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32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3200-000005000000}"/>
    <dataValidation type="decimal" allowBlank="1" showErrorMessage="1" errorTitle="Ошибка" error="Допускается ввод только действительных чисел!" sqref="AO52:AO53 AG8:AG11 AO8:AO9 AG52:AG55" xr:uid="{00000000-0002-0000-32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32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32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56CDF-BE1D-E4A4-BBC7-57D932809C6F}">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3"/>
      <c r="B2" s="793"/>
      <c r="C2" s="793"/>
      <c r="D2" s="793"/>
      <c r="E2" s="1287">
        <v>1</v>
      </c>
      <c r="F2" s="793"/>
      <c r="G2" s="793"/>
      <c r="H2" s="793"/>
      <c r="I2" s="793"/>
      <c r="J2" s="793"/>
      <c r="K2" s="793"/>
      <c r="L2" s="794"/>
      <c r="M2" s="433"/>
      <c r="N2" s="433"/>
      <c r="O2" s="433"/>
      <c r="Q2" s="2"/>
      <c r="R2" s="213"/>
      <c r="S2" s="725" t="e">
        <f>INDEX(PT_DIFFERENTIATION_NUM_NTAR,MATCH(A2,PT_DIFFERENTIATION_NTAR_ID,0))</f>
        <v>#N/A</v>
      </c>
      <c r="T2" s="64" t="s">
        <v>139</v>
      </c>
      <c r="U2" s="170"/>
      <c r="V2" s="1281"/>
      <c r="W2" s="1282"/>
      <c r="X2" s="1282"/>
      <c r="Y2" s="1282"/>
      <c r="Z2" s="1282"/>
      <c r="AA2" s="1282"/>
      <c r="AB2" s="1283"/>
      <c r="AC2" s="1281" t="e">
        <f>INDEX(PT_DIFFERENTIATION_NTAR,MATCH(A2,PT_DIFFERENTIATION_NTAR_ID,0))</f>
        <v>#N/A</v>
      </c>
      <c r="AD2" s="1282"/>
      <c r="AE2" s="1282"/>
      <c r="AF2" s="1282"/>
      <c r="AG2" s="1282"/>
      <c r="AH2" s="1282"/>
      <c r="AI2" s="1282"/>
      <c r="AJ2" s="1283"/>
      <c r="AK2" s="7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3"/>
      <c r="B3" s="793"/>
      <c r="C3" s="793"/>
      <c r="D3" s="793"/>
      <c r="E3" s="1288"/>
      <c r="F3" s="1287">
        <v>1</v>
      </c>
      <c r="G3" s="793"/>
      <c r="H3" s="793"/>
      <c r="I3" s="793"/>
      <c r="J3" s="793"/>
      <c r="K3" s="793"/>
      <c r="L3" s="794"/>
      <c r="M3" s="433"/>
      <c r="N3" s="433"/>
      <c r="O3" s="433"/>
      <c r="P3" s="56"/>
      <c r="Q3" s="210"/>
      <c r="R3" s="211"/>
      <c r="S3" s="725" t="e">
        <f>INDEX(PT_DIFFERENTIATION_NUM_TER,MATCH(B3,PT_DIFFERENTIATION_TER_ID,0))</f>
        <v>#N/A</v>
      </c>
      <c r="T3" s="178" t="s">
        <v>471</v>
      </c>
      <c r="U3" s="170"/>
      <c r="V3" s="1281"/>
      <c r="W3" s="1282"/>
      <c r="X3" s="1282"/>
      <c r="Y3" s="1282"/>
      <c r="Z3" s="1282"/>
      <c r="AA3" s="1282"/>
      <c r="AB3" s="1283"/>
      <c r="AC3" s="1281" t="e">
        <f>INDEX(PT_DIFFERENTIATION_TER,MATCH(B3,PT_DIFFERENTIATION_TER_ID,0))</f>
        <v>#N/A</v>
      </c>
      <c r="AD3" s="1282"/>
      <c r="AE3" s="1282"/>
      <c r="AF3" s="1282"/>
      <c r="AG3" s="1282"/>
      <c r="AH3" s="1282"/>
      <c r="AI3" s="1282"/>
      <c r="AJ3" s="1283"/>
      <c r="AK3" s="753" t="s">
        <v>472</v>
      </c>
      <c r="AM3" s="66"/>
      <c r="AN3" s="66" t="str">
        <f t="shared" si="0"/>
        <v>Территория действия тарифа</v>
      </c>
      <c r="AO3" s="66"/>
      <c r="AP3" s="66"/>
    </row>
    <row r="4" spans="1:42" ht="23.25" hidden="1" customHeight="1">
      <c r="A4" s="793"/>
      <c r="B4" s="793"/>
      <c r="C4" s="793"/>
      <c r="D4" s="793"/>
      <c r="E4" s="1288"/>
      <c r="F4" s="1288"/>
      <c r="G4" s="1287">
        <v>1</v>
      </c>
      <c r="H4" s="793"/>
      <c r="I4" s="793"/>
      <c r="J4" s="793"/>
      <c r="K4" s="793"/>
      <c r="L4" s="794"/>
      <c r="M4" s="433"/>
      <c r="N4" s="433"/>
      <c r="O4" s="433"/>
      <c r="P4" s="212"/>
      <c r="Q4" s="210"/>
      <c r="R4" s="211"/>
      <c r="S4" s="725" t="e">
        <f>INDEX(PT_DIFFERENTIATION_NUM_CS,MATCH(C4,PT_DIFFERENTIATION_CS_ID,0))</f>
        <v>#N/A</v>
      </c>
      <c r="T4" s="179" t="s">
        <v>2076</v>
      </c>
      <c r="U4" s="170"/>
      <c r="V4" s="1281"/>
      <c r="W4" s="1282"/>
      <c r="X4" s="1282"/>
      <c r="Y4" s="1282"/>
      <c r="Z4" s="1282"/>
      <c r="AA4" s="1282"/>
      <c r="AB4" s="1283"/>
      <c r="AC4" s="1281" t="e">
        <f>INDEX(PT_DIFFERENTIATION_CS,MATCH(C4,PT_DIFFERENTIATION_CS_ID,0))</f>
        <v>#N/A</v>
      </c>
      <c r="AD4" s="1282"/>
      <c r="AE4" s="1282"/>
      <c r="AF4" s="1282"/>
      <c r="AG4" s="1282"/>
      <c r="AH4" s="1282"/>
      <c r="AI4" s="1282"/>
      <c r="AJ4" s="1283"/>
      <c r="AK4" s="753" t="s">
        <v>2077</v>
      </c>
      <c r="AM4" s="66"/>
      <c r="AN4" s="66" t="str">
        <f t="shared" si="0"/>
        <v>Наименование централизованной системы водоотведения</v>
      </c>
      <c r="AO4" s="66"/>
      <c r="AP4" s="66"/>
    </row>
    <row r="5" spans="1:42" ht="23.25" hidden="1" customHeight="1">
      <c r="A5" s="793"/>
      <c r="B5" s="793"/>
      <c r="C5" s="793"/>
      <c r="D5" s="793"/>
      <c r="E5" s="1288"/>
      <c r="F5" s="1288"/>
      <c r="G5" s="1288"/>
      <c r="H5" s="1288"/>
      <c r="I5" s="1289" t="e">
        <f>S4&amp;".1"</f>
        <v>#N/A</v>
      </c>
      <c r="J5" s="793"/>
      <c r="K5" s="793"/>
      <c r="L5" s="794"/>
      <c r="P5" s="1211">
        <v>1</v>
      </c>
      <c r="Q5" s="119"/>
      <c r="R5" s="214"/>
      <c r="S5" s="725" t="e">
        <f>$I5</f>
        <v>#N/A</v>
      </c>
      <c r="T5" s="163" t="s">
        <v>1687</v>
      </c>
      <c r="U5" s="170"/>
      <c r="V5" s="1387"/>
      <c r="W5" s="1388"/>
      <c r="X5" s="1388"/>
      <c r="Y5" s="1388"/>
      <c r="Z5" s="1388"/>
      <c r="AA5" s="1388"/>
      <c r="AB5" s="1389"/>
      <c r="AC5" s="1390"/>
      <c r="AD5" s="1391"/>
      <c r="AE5" s="1391"/>
      <c r="AF5" s="1391"/>
      <c r="AG5" s="1391"/>
      <c r="AH5" s="1391"/>
      <c r="AI5" s="1391"/>
      <c r="AJ5" s="1392"/>
      <c r="AK5" s="753" t="s">
        <v>1688</v>
      </c>
      <c r="AM5" s="66"/>
      <c r="AN5" s="66" t="str">
        <f t="shared" si="0"/>
        <v>Наименование признака дифференциации</v>
      </c>
      <c r="AO5" s="66"/>
      <c r="AP5" s="66"/>
    </row>
    <row r="6" spans="1:42" ht="23.25" hidden="1" customHeight="1">
      <c r="A6" s="793"/>
      <c r="B6" s="793"/>
      <c r="C6" s="793"/>
      <c r="D6" s="793"/>
      <c r="E6" s="1288"/>
      <c r="F6" s="1288"/>
      <c r="G6" s="1288"/>
      <c r="H6" s="1288"/>
      <c r="I6" s="1290"/>
      <c r="J6" s="1289" t="e">
        <f>I5&amp;".1"</f>
        <v>#N/A</v>
      </c>
      <c r="K6" s="793"/>
      <c r="L6" s="794" t="s">
        <v>480</v>
      </c>
      <c r="P6" s="1211"/>
      <c r="Q6" s="1211">
        <v>1</v>
      </c>
      <c r="R6" s="215"/>
      <c r="S6" s="725" t="e">
        <f>$J6</f>
        <v>#N/A</v>
      </c>
      <c r="T6" s="164" t="s">
        <v>481</v>
      </c>
      <c r="U6" s="170"/>
      <c r="V6" s="1275"/>
      <c r="W6" s="1276"/>
      <c r="X6" s="1276"/>
      <c r="Y6" s="1276"/>
      <c r="Z6" s="1276"/>
      <c r="AA6" s="1276"/>
      <c r="AB6" s="1277"/>
      <c r="AC6" s="1275"/>
      <c r="AD6" s="1276"/>
      <c r="AE6" s="1276"/>
      <c r="AF6" s="1276"/>
      <c r="AG6" s="1276"/>
      <c r="AH6" s="1276"/>
      <c r="AI6" s="1276"/>
      <c r="AJ6" s="1277"/>
      <c r="AK6" s="778" t="s">
        <v>1689</v>
      </c>
      <c r="AM6" s="66"/>
      <c r="AN6" s="66" t="str">
        <f t="shared" si="0"/>
        <v>Группа потребителей</v>
      </c>
      <c r="AO6" s="66"/>
      <c r="AP6" s="66"/>
    </row>
    <row r="7" spans="1:42" ht="23.25" hidden="1" customHeight="1">
      <c r="A7" s="793"/>
      <c r="B7" s="793"/>
      <c r="C7" s="793"/>
      <c r="D7" s="793"/>
      <c r="E7" s="1288"/>
      <c r="F7" s="1288"/>
      <c r="G7" s="1288"/>
      <c r="H7" s="1288"/>
      <c r="I7" s="1290"/>
      <c r="J7" s="1290"/>
      <c r="K7" s="1289" t="e">
        <f>J6&amp;".1"</f>
        <v>#N/A</v>
      </c>
      <c r="L7" s="794"/>
      <c r="P7" s="1211"/>
      <c r="Q7" s="1211"/>
      <c r="R7" s="215">
        <v>1</v>
      </c>
      <c r="S7" s="725" t="e">
        <f>$K7</f>
        <v>#N/A</v>
      </c>
      <c r="T7" s="836"/>
      <c r="U7" s="170"/>
      <c r="V7" s="317"/>
      <c r="W7" s="317"/>
      <c r="X7" s="752"/>
      <c r="Y7" s="1291"/>
      <c r="Z7" s="1092" t="s">
        <v>59</v>
      </c>
      <c r="AA7" s="1291"/>
      <c r="AB7" s="1092" t="s">
        <v>59</v>
      </c>
      <c r="AC7" s="317"/>
      <c r="AD7" s="317"/>
      <c r="AE7" s="752"/>
      <c r="AF7" s="1291"/>
      <c r="AG7" s="1092" t="s">
        <v>59</v>
      </c>
      <c r="AH7" s="1293"/>
      <c r="AI7" s="1092" t="s">
        <v>59</v>
      </c>
      <c r="AJ7" s="837"/>
      <c r="AK7"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3"/>
      <c r="B8" s="793"/>
      <c r="C8" s="793"/>
      <c r="D8" s="793"/>
      <c r="E8" s="1288"/>
      <c r="F8" s="1288"/>
      <c r="G8" s="1288"/>
      <c r="H8" s="1288"/>
      <c r="I8" s="1290"/>
      <c r="J8" s="1290"/>
      <c r="K8" s="1289"/>
      <c r="L8" s="794"/>
      <c r="P8" s="1211"/>
      <c r="Q8" s="1211"/>
      <c r="R8" s="215"/>
      <c r="S8" s="62"/>
      <c r="T8" s="170"/>
      <c r="U8" s="170"/>
      <c r="V8" s="196"/>
      <c r="W8" s="196"/>
      <c r="X8" s="198" t="str">
        <f>Y7&amp;"-"&amp;AA7</f>
        <v>-</v>
      </c>
      <c r="Y8" s="1292"/>
      <c r="Z8" s="1092"/>
      <c r="AA8" s="1292"/>
      <c r="AB8" s="1092"/>
      <c r="AC8" s="196"/>
      <c r="AD8" s="196"/>
      <c r="AE8" s="198" t="str">
        <f>AF7&amp;"-"&amp;AH7</f>
        <v>-</v>
      </c>
      <c r="AF8" s="1292"/>
      <c r="AG8" s="1092"/>
      <c r="AH8" s="1294"/>
      <c r="AI8" s="1092"/>
      <c r="AJ8" s="396"/>
      <c r="AK8" s="1393"/>
      <c r="AM8" s="66"/>
      <c r="AN8" s="66" t="str">
        <f t="shared" si="0"/>
        <v/>
      </c>
      <c r="AO8" s="66"/>
      <c r="AP8" s="66"/>
    </row>
    <row r="9" spans="1:42" ht="21" hidden="1" customHeight="1">
      <c r="A9" s="793"/>
      <c r="B9" s="793"/>
      <c r="C9" s="793"/>
      <c r="D9" s="793"/>
      <c r="E9" s="1288"/>
      <c r="F9" s="1288"/>
      <c r="G9" s="1288"/>
      <c r="H9" s="1288"/>
      <c r="I9" s="1290"/>
      <c r="J9" s="1289"/>
      <c r="K9" s="793"/>
      <c r="L9" s="794"/>
      <c r="P9" s="1211"/>
      <c r="Q9" s="1211"/>
      <c r="R9" s="214"/>
      <c r="S9" s="767"/>
      <c r="T9" s="165" t="s">
        <v>1690</v>
      </c>
      <c r="U9" s="221"/>
      <c r="V9" s="221"/>
      <c r="W9" s="221"/>
      <c r="X9" s="221"/>
      <c r="Y9" s="221"/>
      <c r="Z9" s="221"/>
      <c r="AA9" s="221"/>
      <c r="AB9" s="221"/>
      <c r="AC9" s="221"/>
      <c r="AD9" s="221"/>
      <c r="AE9" s="221"/>
      <c r="AF9" s="221"/>
      <c r="AG9" s="221"/>
      <c r="AH9" s="221"/>
      <c r="AI9" s="221"/>
      <c r="AJ9" s="221"/>
      <c r="AK9" s="753" t="s">
        <v>1691</v>
      </c>
      <c r="AM9" s="66"/>
      <c r="AN9" s="66" t="str">
        <f t="shared" si="0"/>
        <v>Добавить значение признака дифференциации</v>
      </c>
      <c r="AO9" s="66"/>
      <c r="AP9" s="66"/>
    </row>
    <row r="10" spans="1:42" ht="21" hidden="1" customHeight="1">
      <c r="A10" s="793"/>
      <c r="B10" s="793"/>
      <c r="C10" s="793"/>
      <c r="D10" s="793"/>
      <c r="E10" s="1288"/>
      <c r="F10" s="1288"/>
      <c r="G10" s="1288"/>
      <c r="H10" s="1288"/>
      <c r="I10" s="1289"/>
      <c r="J10" s="793"/>
      <c r="K10" s="793"/>
      <c r="L10" s="794"/>
      <c r="P10" s="1211"/>
      <c r="Q10" s="119"/>
      <c r="R10" s="214"/>
      <c r="S10" s="767"/>
      <c r="T10" s="219" t="s">
        <v>486</v>
      </c>
      <c r="U10" s="221"/>
      <c r="V10" s="221"/>
      <c r="W10" s="221"/>
      <c r="X10" s="221"/>
      <c r="Y10" s="221"/>
      <c r="Z10" s="221"/>
      <c r="AA10" s="221"/>
      <c r="AB10" s="197"/>
      <c r="AC10" s="221"/>
      <c r="AD10" s="221"/>
      <c r="AE10" s="221"/>
      <c r="AF10" s="221"/>
      <c r="AG10" s="221"/>
      <c r="AH10" s="221"/>
      <c r="AI10" s="197"/>
      <c r="AJ10" s="221"/>
      <c r="AK10" s="838"/>
      <c r="AM10" s="66"/>
      <c r="AN10" s="66" t="str">
        <f t="shared" si="0"/>
        <v>Добавить группу потребителей</v>
      </c>
      <c r="AO10" s="66"/>
      <c r="AP10" s="66"/>
    </row>
    <row r="11" spans="1:42" ht="21" hidden="1" customHeight="1">
      <c r="A11" s="793"/>
      <c r="B11" s="793"/>
      <c r="C11" s="793"/>
      <c r="D11" s="793"/>
      <c r="E11" s="1288"/>
      <c r="F11" s="1288"/>
      <c r="G11" s="1288"/>
      <c r="H11" s="1287"/>
      <c r="I11" s="793"/>
      <c r="J11" s="793"/>
      <c r="K11" s="793"/>
      <c r="L11" s="794"/>
      <c r="M11" s="433"/>
      <c r="N11" s="433"/>
      <c r="O11" s="60"/>
      <c r="P11" s="2"/>
      <c r="Q11" s="224"/>
      <c r="R11" s="213"/>
      <c r="S11" s="767"/>
      <c r="T11" s="104" t="s">
        <v>1692</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88"/>
      <c r="F12" s="1287"/>
      <c r="G12" s="142"/>
      <c r="H12" s="142"/>
      <c r="I12" s="142"/>
      <c r="J12" s="142"/>
      <c r="K12" s="142"/>
      <c r="L12" s="355"/>
      <c r="M12" s="784"/>
      <c r="N12" s="784"/>
      <c r="P12" s="101"/>
      <c r="Q12" s="780"/>
      <c r="R12" s="101"/>
      <c r="S12" s="785"/>
      <c r="T12" s="787" t="s">
        <v>445</v>
      </c>
      <c r="U12" s="323"/>
      <c r="V12" s="323"/>
      <c r="W12" s="323"/>
      <c r="X12" s="323"/>
      <c r="Y12" s="323"/>
      <c r="Z12" s="323"/>
      <c r="AA12" s="323"/>
      <c r="AB12" s="323"/>
      <c r="AC12" s="323"/>
      <c r="AD12" s="323"/>
      <c r="AE12" s="323"/>
      <c r="AF12" s="323"/>
      <c r="AG12" s="323"/>
      <c r="AH12" s="323"/>
      <c r="AI12" s="323"/>
      <c r="AJ12" s="323"/>
      <c r="AK12" s="323"/>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87"/>
      <c r="F13" s="142"/>
      <c r="G13" s="142"/>
      <c r="H13" s="142"/>
      <c r="I13" s="142"/>
      <c r="J13" s="142"/>
      <c r="K13" s="142"/>
      <c r="L13" s="355"/>
      <c r="M13" s="784"/>
      <c r="N13" s="784"/>
      <c r="P13" s="101"/>
      <c r="Q13" s="780"/>
      <c r="R13" s="101"/>
      <c r="S13" s="785"/>
      <c r="T13" s="787" t="s">
        <v>446</v>
      </c>
      <c r="U13" s="323"/>
      <c r="V13" s="323"/>
      <c r="W13" s="323"/>
      <c r="X13" s="323"/>
      <c r="Y13" s="323"/>
      <c r="Z13" s="323"/>
      <c r="AA13" s="323"/>
      <c r="AB13" s="323"/>
      <c r="AC13" s="323"/>
      <c r="AD13" s="323"/>
      <c r="AE13" s="323"/>
      <c r="AF13" s="323"/>
      <c r="AG13" s="323"/>
      <c r="AH13" s="323"/>
      <c r="AI13" s="323"/>
      <c r="AJ13" s="323"/>
      <c r="AK13" s="323"/>
      <c r="AM13" s="66"/>
      <c r="AN13" s="66" t="str">
        <f t="shared" si="0"/>
        <v>Добавить территорию для дифференциации</v>
      </c>
      <c r="AO13" s="66"/>
      <c r="AP13" s="66"/>
    </row>
    <row r="14" spans="1:42" ht="14.25" hidden="1" customHeight="1"/>
    <row r="15" spans="1:42" ht="14.25" hidden="1" customHeight="1">
      <c r="AC15" s="376"/>
      <c r="AD15" s="376"/>
      <c r="AE15" s="792"/>
      <c r="AF15" s="1285"/>
      <c r="AG15" s="1284" t="s">
        <v>59</v>
      </c>
      <c r="AH15" s="1285"/>
      <c r="AI15" s="1284" t="s">
        <v>59</v>
      </c>
    </row>
    <row r="16" spans="1:42" ht="14.25" hidden="1" customHeight="1">
      <c r="AC16" s="376"/>
      <c r="AD16" s="376"/>
      <c r="AE16" s="198" t="str">
        <f>AF15&amp;"-"&amp;AH15</f>
        <v>-</v>
      </c>
      <c r="AF16" s="1284"/>
      <c r="AG16" s="1284"/>
      <c r="AH16" s="1284"/>
      <c r="AI16" s="1284"/>
    </row>
    <row r="17" spans="1:42" ht="14.25" hidden="1" customHeight="1"/>
    <row r="18" spans="1:42" s="60" customFormat="1" ht="22.5" hidden="1" customHeight="1">
      <c r="L18" s="312"/>
      <c r="M18" s="519"/>
      <c r="N18" s="519"/>
      <c r="O18" s="795" t="s">
        <v>488</v>
      </c>
      <c r="P18" s="519"/>
      <c r="Q18" s="796"/>
      <c r="R18" s="796"/>
      <c r="S18" s="433"/>
      <c r="Y18" s="795"/>
      <c r="AA18" s="795"/>
      <c r="AF18" s="795"/>
      <c r="AH18" s="795"/>
      <c r="AL18" s="65"/>
      <c r="AM18" s="65"/>
      <c r="AN18" s="65"/>
      <c r="AO18" s="65"/>
      <c r="AP18" s="65"/>
    </row>
    <row r="19" spans="1:42" s="60" customFormat="1" ht="14.25" hidden="1" customHeight="1">
      <c r="L19" s="312"/>
      <c r="M19" s="519"/>
      <c r="N19" s="519"/>
      <c r="O19" s="519"/>
      <c r="P19" s="519"/>
      <c r="Q19" s="796"/>
      <c r="R19" s="796"/>
      <c r="S19" s="433"/>
      <c r="AL19" s="65"/>
      <c r="AM19" s="65"/>
      <c r="AN19" s="65"/>
      <c r="AO19" s="65"/>
      <c r="AP19" s="65"/>
    </row>
    <row r="20" spans="1:42" s="60" customFormat="1" ht="12" hidden="1" customHeight="1">
      <c r="L20" s="312"/>
      <c r="M20" s="519"/>
      <c r="N20" s="519"/>
      <c r="O20" s="794" t="s">
        <v>489</v>
      </c>
      <c r="P20" s="519"/>
      <c r="Q20" s="839"/>
      <c r="R20" s="839"/>
      <c r="S20" s="433"/>
      <c r="T20" s="60" t="s">
        <v>490</v>
      </c>
      <c r="Z20" s="79" t="s">
        <v>491</v>
      </c>
      <c r="AB20" s="79" t="s">
        <v>492</v>
      </c>
      <c r="AC20" s="60" t="s">
        <v>490</v>
      </c>
      <c r="AG20" s="79" t="s">
        <v>493</v>
      </c>
      <c r="AI20" s="79" t="s">
        <v>492</v>
      </c>
    </row>
    <row r="21" spans="1:42" ht="14.25" hidden="1" customHeight="1">
      <c r="O21" s="794"/>
    </row>
    <row r="22" spans="1:42" ht="14.25" hidden="1" customHeight="1">
      <c r="O22" s="794"/>
    </row>
    <row r="23" spans="1:42" ht="14.25" customHeight="1">
      <c r="Q23" s="27"/>
      <c r="R23" s="27"/>
      <c r="S23" s="764"/>
      <c r="T23" s="8"/>
      <c r="U23" s="8"/>
    </row>
    <row r="24" spans="1:42" ht="32.25" customHeight="1">
      <c r="Q24" s="27"/>
      <c r="R24" s="27"/>
      <c r="S24" s="1312"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1312"/>
      <c r="U24" s="1312"/>
      <c r="V24" s="1312"/>
      <c r="W24" s="1312"/>
      <c r="X24" s="1312"/>
      <c r="Y24" s="1312"/>
      <c r="Z24" s="1312"/>
      <c r="AA24" s="1312"/>
      <c r="AB24" s="1312"/>
      <c r="AC24" s="1312"/>
      <c r="AD24" s="1312"/>
      <c r="AE24" s="1312"/>
      <c r="AF24" s="1312"/>
      <c r="AG24" s="1312"/>
      <c r="AH24" s="1312"/>
      <c r="AI24" s="57"/>
    </row>
    <row r="25" spans="1:42" ht="14.25" customHeight="1">
      <c r="Q25" s="27"/>
      <c r="R25" s="27"/>
      <c r="S25" s="1178" t="str">
        <f>IF(org=0,"Не определено",org)</f>
        <v>ООО "Концессионная Коммунальная Компания"</v>
      </c>
      <c r="T25" s="1178"/>
      <c r="U25" s="1178"/>
      <c r="V25" s="1178"/>
      <c r="W25" s="1178"/>
      <c r="X25" s="1178"/>
      <c r="Y25" s="1178"/>
      <c r="Z25" s="1178"/>
      <c r="AA25" s="1178"/>
      <c r="AB25" s="1178"/>
      <c r="AC25" s="1178"/>
      <c r="AD25" s="1178"/>
      <c r="AE25" s="1178"/>
      <c r="AF25" s="1178"/>
      <c r="AG25" s="1178"/>
      <c r="AH25" s="1178"/>
      <c r="AI25" s="57"/>
    </row>
    <row r="26" spans="1:42" ht="14.25" hidden="1" customHeight="1">
      <c r="Q26" s="27"/>
      <c r="R26" s="27"/>
      <c r="S26" s="764"/>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4"/>
      <c r="M27" s="79"/>
      <c r="N27" s="79"/>
      <c r="O27" s="79"/>
      <c r="S27" s="1278" t="s">
        <v>40</v>
      </c>
      <c r="T27" s="1278"/>
      <c r="U27" s="797"/>
      <c r="V27" s="1280" t="str">
        <f>IF(TITLE_NAME_OR_PR_CHANGE="",IF(TITLE_NAME_OR_PR="","",TITLE_NAME_OR_PR),TITLE_NAME_OR_PR_CHANGE)</f>
        <v/>
      </c>
      <c r="W27" s="1280"/>
      <c r="X27" s="1280"/>
      <c r="Y27" s="1280"/>
      <c r="Z27" s="1280"/>
      <c r="AA27" s="1280"/>
      <c r="AB27" s="9"/>
      <c r="AC27" s="1280" t="str">
        <f>IF(TITLE_NAME_OR_PR_CHANGE="",IF(TITLE_NAME_OR_PR="","",TITLE_NAME_OR_PR),TITLE_NAME_OR_PR_CHANGE)</f>
        <v/>
      </c>
      <c r="AD27" s="1280"/>
      <c r="AE27" s="1280"/>
      <c r="AF27" s="1280"/>
      <c r="AG27" s="1280"/>
      <c r="AH27" s="1280"/>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4"/>
      <c r="M28" s="79"/>
      <c r="N28" s="79"/>
      <c r="O28" s="79"/>
      <c r="S28" s="1278" t="s">
        <v>494</v>
      </c>
      <c r="T28" s="1278"/>
      <c r="U28" s="797"/>
      <c r="V28" s="1279" t="str">
        <f>IF(TITLE_DATE_CHANGE_PERIOD="",IF(TITLE_DATE_PR="","",TITLE_DATE_PR),TITLE_DATE_CHANGE_PERIOD)</f>
        <v/>
      </c>
      <c r="W28" s="1279"/>
      <c r="X28" s="1279"/>
      <c r="Y28" s="1279"/>
      <c r="Z28" s="1279"/>
      <c r="AA28" s="1279"/>
      <c r="AB28" s="9"/>
      <c r="AC28" s="1279" t="str">
        <f>IF(TITLE_DATE_CHANGE_PERIOD="",IF(TITLE_DATE_PR="","",TITLE_DATE_PR),TITLE_DATE_CHANGE_PERIOD)</f>
        <v/>
      </c>
      <c r="AD28" s="1279"/>
      <c r="AE28" s="1279"/>
      <c r="AF28" s="1279"/>
      <c r="AG28" s="1279"/>
      <c r="AH28" s="1279"/>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4"/>
      <c r="M29" s="79"/>
      <c r="N29" s="79"/>
      <c r="O29" s="79"/>
      <c r="S29" s="1278" t="s">
        <v>495</v>
      </c>
      <c r="T29" s="1278"/>
      <c r="U29" s="797"/>
      <c r="V29" s="1280" t="str">
        <f>IF(TITLE_NUMBER_PR_CHANGE="",IF(TITLE_NUMBER_PR="","",TITLE_NUMBER_PR),TITLE_NUMBER_PR_CHANGE)</f>
        <v/>
      </c>
      <c r="W29" s="1280"/>
      <c r="X29" s="1280"/>
      <c r="Y29" s="1280"/>
      <c r="Z29" s="1280"/>
      <c r="AA29" s="1280"/>
      <c r="AB29" s="9"/>
      <c r="AC29" s="1280" t="str">
        <f>IF(TITLE_NUMBER_PR_CHANGE="",IF(TITLE_NUMBER_PR="","",TITLE_NUMBER_PR),TITLE_NUMBER_PR_CHANGE)</f>
        <v/>
      </c>
      <c r="AD29" s="1280"/>
      <c r="AE29" s="1280"/>
      <c r="AF29" s="1280"/>
      <c r="AG29" s="1280"/>
      <c r="AH29" s="1280"/>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4"/>
      <c r="M30" s="79"/>
      <c r="N30" s="79"/>
      <c r="O30" s="79"/>
      <c r="S30" s="1278" t="s">
        <v>41</v>
      </c>
      <c r="T30" s="1278"/>
      <c r="U30" s="797"/>
      <c r="V30" s="1280" t="str">
        <f>IF(TITLE_IST_PUB_CHANGE="",IF(TITLE_IST_PUB="","",TITLE_IST_PUB),TITLE_IST_PUB_CHANGE)</f>
        <v/>
      </c>
      <c r="W30" s="1280"/>
      <c r="X30" s="1280"/>
      <c r="Y30" s="1280"/>
      <c r="Z30" s="1280"/>
      <c r="AA30" s="1280"/>
      <c r="AB30" s="9"/>
      <c r="AC30" s="1280" t="str">
        <f>IF(TITLE_IST_PUB_CHANGE="",IF(TITLE_IST_PUB="","",TITLE_IST_PUB),TITLE_IST_PUB_CHANGE)</f>
        <v/>
      </c>
      <c r="AD30" s="1280"/>
      <c r="AE30" s="1280"/>
      <c r="AF30" s="1280"/>
      <c r="AG30" s="1280"/>
      <c r="AH30" s="1280"/>
      <c r="AI30" s="9"/>
      <c r="AJ30" s="9"/>
      <c r="AK30" s="162"/>
      <c r="AL30" s="66"/>
      <c r="AM30" s="66"/>
      <c r="AN30" s="66"/>
      <c r="AO30" s="66"/>
      <c r="AP30" s="66"/>
    </row>
    <row r="31" spans="1:42" ht="14.25" hidden="1" customHeight="1">
      <c r="Q31" s="27"/>
      <c r="R31" s="27"/>
      <c r="S31" s="764"/>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4"/>
      <c r="M32" s="79"/>
      <c r="N32" s="79"/>
      <c r="O32" s="79"/>
      <c r="S32" s="1278" t="s">
        <v>496</v>
      </c>
      <c r="T32" s="1278"/>
      <c r="U32" s="797"/>
      <c r="V32" s="1279" t="str">
        <f>IF(TITLE_DATE_CHANGE_PERIOD="",IF(TITLE_DATE_PR="","",TITLE_DATE_PR),TITLE_DATE_CHANGE_PERIOD)</f>
        <v/>
      </c>
      <c r="W32" s="1279"/>
      <c r="X32" s="1279"/>
      <c r="Y32" s="1279"/>
      <c r="Z32" s="1279"/>
      <c r="AA32" s="1279"/>
      <c r="AB32" s="9"/>
      <c r="AC32" s="1279" t="str">
        <f>IF(TITLE_DATE_CHANGE_PERIOD="",IF(TITLE_DATE_PR="","",TITLE_DATE_PR),TITLE_DATE_CHANGE_PERIOD)</f>
        <v/>
      </c>
      <c r="AD32" s="1279"/>
      <c r="AE32" s="1279"/>
      <c r="AF32" s="1279"/>
      <c r="AG32" s="1279"/>
      <c r="AH32" s="1279"/>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4"/>
      <c r="M33" s="79"/>
      <c r="N33" s="79"/>
      <c r="O33" s="79"/>
      <c r="S33" s="1278" t="s">
        <v>497</v>
      </c>
      <c r="T33" s="1278"/>
      <c r="U33" s="797"/>
      <c r="V33" s="1280" t="str">
        <f>IF(TITLE_NUMBER_PR_CHANGE="",IF(TITLE_NUMBER_PR="","",TITLE_NUMBER_PR),TITLE_NUMBER_PR_CHANGE)</f>
        <v/>
      </c>
      <c r="W33" s="1280"/>
      <c r="X33" s="1280"/>
      <c r="Y33" s="1280"/>
      <c r="Z33" s="1280"/>
      <c r="AA33" s="1280"/>
      <c r="AB33" s="9"/>
      <c r="AC33" s="1280" t="str">
        <f>IF(TITLE_NUMBER_PR_CHANGE="",IF(TITLE_NUMBER_PR="","",TITLE_NUMBER_PR),TITLE_NUMBER_PR_CHANGE)</f>
        <v/>
      </c>
      <c r="AD33" s="1280"/>
      <c r="AE33" s="1280"/>
      <c r="AF33" s="1280"/>
      <c r="AG33" s="1280"/>
      <c r="AH33" s="1280"/>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4"/>
      <c r="M34" s="79"/>
      <c r="N34" s="79"/>
      <c r="O34" s="79"/>
      <c r="S34" s="9"/>
      <c r="T34" s="9"/>
      <c r="U34" s="75"/>
      <c r="V34" s="9"/>
      <c r="W34" s="9"/>
      <c r="X34" s="9"/>
      <c r="Y34" s="9"/>
      <c r="Z34" s="9"/>
      <c r="AA34" s="9"/>
      <c r="AB34" s="65" t="s">
        <v>498</v>
      </c>
      <c r="AC34" s="9"/>
      <c r="AD34" s="9"/>
      <c r="AE34" s="9"/>
      <c r="AF34" s="9"/>
      <c r="AG34" s="9"/>
      <c r="AH34" s="9"/>
      <c r="AI34" s="65" t="s">
        <v>498</v>
      </c>
      <c r="AL34" s="66"/>
      <c r="AM34" s="66"/>
      <c r="AN34" s="66"/>
      <c r="AO34" s="66"/>
      <c r="AP34" s="66"/>
    </row>
    <row r="35" spans="1:42" ht="14.25" customHeight="1">
      <c r="Q35" s="27"/>
      <c r="R35" s="27"/>
      <c r="S35" s="764"/>
      <c r="T35" s="8"/>
      <c r="U35" s="736"/>
      <c r="V35" s="1298"/>
      <c r="W35" s="1298"/>
      <c r="X35" s="1298"/>
      <c r="Y35" s="1298"/>
      <c r="Z35" s="1298"/>
      <c r="AA35" s="1298"/>
      <c r="AB35" s="1298"/>
      <c r="AC35" s="1298"/>
      <c r="AD35" s="1298"/>
      <c r="AE35" s="1298"/>
      <c r="AF35" s="1298"/>
      <c r="AG35" s="1298"/>
      <c r="AH35" s="1298"/>
      <c r="AI35" s="1298"/>
    </row>
    <row r="36" spans="1:42" ht="14.25" customHeight="1">
      <c r="Q36" s="27"/>
      <c r="R36" s="27"/>
      <c r="S36" s="1082" t="s">
        <v>302</v>
      </c>
      <c r="T36" s="1082"/>
      <c r="U36" s="1082"/>
      <c r="V36" s="1082"/>
      <c r="W36" s="1082"/>
      <c r="X36" s="1082"/>
      <c r="Y36" s="1082"/>
      <c r="Z36" s="1082"/>
      <c r="AA36" s="1082"/>
      <c r="AB36" s="1082"/>
      <c r="AC36" s="1082"/>
      <c r="AD36" s="1082"/>
      <c r="AE36" s="1082"/>
      <c r="AF36" s="1082"/>
      <c r="AG36" s="1082"/>
      <c r="AH36" s="1082"/>
      <c r="AI36" s="1082"/>
      <c r="AJ36" s="1082"/>
      <c r="AK36" s="1082" t="s">
        <v>303</v>
      </c>
    </row>
    <row r="37" spans="1:42" ht="14.25" customHeight="1">
      <c r="Q37" s="27"/>
      <c r="R37" s="27"/>
      <c r="S37" s="1299" t="s">
        <v>88</v>
      </c>
      <c r="T37" s="1176" t="s">
        <v>499</v>
      </c>
      <c r="U37" s="171"/>
      <c r="V37" s="1300" t="s">
        <v>500</v>
      </c>
      <c r="W37" s="1301"/>
      <c r="X37" s="1301"/>
      <c r="Y37" s="1301"/>
      <c r="Z37" s="1301"/>
      <c r="AA37" s="1302"/>
      <c r="AB37" s="1303" t="s">
        <v>501</v>
      </c>
      <c r="AC37" s="1300" t="s">
        <v>500</v>
      </c>
      <c r="AD37" s="1301"/>
      <c r="AE37" s="1301"/>
      <c r="AF37" s="1301"/>
      <c r="AG37" s="1301"/>
      <c r="AH37" s="1302"/>
      <c r="AI37" s="1303" t="s">
        <v>502</v>
      </c>
      <c r="AJ37" s="1306" t="s">
        <v>503</v>
      </c>
      <c r="AK37" s="1082"/>
    </row>
    <row r="38" spans="1:42" ht="33.75" customHeight="1">
      <c r="Q38" s="27"/>
      <c r="R38" s="27"/>
      <c r="S38" s="1299"/>
      <c r="T38" s="1176"/>
      <c r="U38" s="621"/>
      <c r="V38" s="349" t="s">
        <v>1693</v>
      </c>
      <c r="W38" s="1063" t="s">
        <v>506</v>
      </c>
      <c r="X38" s="1062"/>
      <c r="Y38" s="1063" t="s">
        <v>507</v>
      </c>
      <c r="Z38" s="1068"/>
      <c r="AA38" s="1062"/>
      <c r="AB38" s="1304"/>
      <c r="AC38" s="349" t="s">
        <v>1693</v>
      </c>
      <c r="AD38" s="1063" t="s">
        <v>506</v>
      </c>
      <c r="AE38" s="1062"/>
      <c r="AF38" s="1063" t="s">
        <v>507</v>
      </c>
      <c r="AG38" s="1068"/>
      <c r="AH38" s="1062"/>
      <c r="AI38" s="1304"/>
      <c r="AJ38" s="1307"/>
      <c r="AK38" s="1082"/>
    </row>
    <row r="39" spans="1:42" ht="86.25" customHeight="1">
      <c r="A39" s="79"/>
      <c r="B39" s="79" t="s">
        <v>151</v>
      </c>
      <c r="C39" s="79" t="s">
        <v>152</v>
      </c>
      <c r="D39" s="79" t="s">
        <v>153</v>
      </c>
      <c r="E39" s="794" t="s">
        <v>508</v>
      </c>
      <c r="F39" s="794" t="s">
        <v>509</v>
      </c>
      <c r="G39" s="794" t="s">
        <v>510</v>
      </c>
      <c r="H39" s="794"/>
      <c r="I39" s="794" t="s">
        <v>1694</v>
      </c>
      <c r="J39" s="794" t="s">
        <v>513</v>
      </c>
      <c r="K39" s="794" t="s">
        <v>1695</v>
      </c>
      <c r="L39" s="794" t="s">
        <v>489</v>
      </c>
      <c r="Q39" s="27"/>
      <c r="R39" s="27"/>
      <c r="S39" s="1299"/>
      <c r="T39" s="1176"/>
      <c r="U39" s="172"/>
      <c r="V39" s="349" t="s">
        <v>2078</v>
      </c>
      <c r="W39" s="37" t="s">
        <v>2079</v>
      </c>
      <c r="X39" s="37" t="s">
        <v>1698</v>
      </c>
      <c r="Y39" s="37" t="s">
        <v>517</v>
      </c>
      <c r="Z39" s="1182" t="s">
        <v>518</v>
      </c>
      <c r="AA39" s="1195"/>
      <c r="AB39" s="1305"/>
      <c r="AC39" s="349" t="s">
        <v>2078</v>
      </c>
      <c r="AD39" s="37" t="s">
        <v>2079</v>
      </c>
      <c r="AE39" s="37" t="s">
        <v>1698</v>
      </c>
      <c r="AF39" s="37" t="s">
        <v>517</v>
      </c>
      <c r="AG39" s="1182" t="s">
        <v>518</v>
      </c>
      <c r="AH39" s="1195"/>
      <c r="AI39" s="1305"/>
      <c r="AJ39" s="1308"/>
      <c r="AK39" s="1082"/>
    </row>
    <row r="40" spans="1:42" s="209" customFormat="1" ht="11.25" hidden="1" customHeight="1">
      <c r="A40" s="79"/>
      <c r="B40" s="79"/>
      <c r="C40" s="79"/>
      <c r="D40" s="79"/>
      <c r="E40" s="79"/>
      <c r="F40" s="79"/>
      <c r="G40" s="79"/>
      <c r="H40" s="79"/>
      <c r="I40" s="79"/>
      <c r="J40" s="79"/>
      <c r="K40" s="79"/>
      <c r="L40" s="794"/>
      <c r="M40" s="519"/>
      <c r="N40" s="519"/>
      <c r="O40" s="519"/>
      <c r="P40" s="738"/>
      <c r="Q40" s="739"/>
      <c r="R40" s="747">
        <v>1</v>
      </c>
      <c r="S40" s="766" t="s">
        <v>119</v>
      </c>
      <c r="T40" s="748" t="s">
        <v>103</v>
      </c>
      <c r="U40" s="737" t="str">
        <f ca="1">OFFSET(U40,0,-1)</f>
        <v>2</v>
      </c>
      <c r="V40" s="749">
        <f ca="1">OFFSET(V40,0,-1)+1</f>
        <v>3</v>
      </c>
      <c r="W40" s="749">
        <f ca="1">OFFSET(W40,0,-1)+1</f>
        <v>4</v>
      </c>
      <c r="X40" s="749">
        <f ca="1">OFFSET(X40,0,-1)+1</f>
        <v>5</v>
      </c>
      <c r="Y40" s="749">
        <f ca="1">OFFSET(Y40,0,-1)+1</f>
        <v>6</v>
      </c>
      <c r="Z40" s="1297">
        <f ca="1">OFFSET(Z40,0,-1)+1</f>
        <v>7</v>
      </c>
      <c r="AA40" s="1297"/>
      <c r="AB40" s="749">
        <f ca="1">OFFSET(AB40,0,-2)+1</f>
        <v>8</v>
      </c>
      <c r="AC40" s="749">
        <f ca="1">OFFSET(AC40,0,-1)+1</f>
        <v>9</v>
      </c>
      <c r="AD40" s="749">
        <f ca="1">OFFSET(AD40,0,-1)+1</f>
        <v>10</v>
      </c>
      <c r="AE40" s="749">
        <f ca="1">OFFSET(AE40,0,-1)+1</f>
        <v>11</v>
      </c>
      <c r="AF40" s="749">
        <f ca="1">OFFSET(AF40,0,-1)+1</f>
        <v>12</v>
      </c>
      <c r="AG40" s="1297">
        <f ca="1">OFFSET(AG40,0,-1)+1</f>
        <v>13</v>
      </c>
      <c r="AH40" s="1297"/>
      <c r="AI40" s="749">
        <f ca="1">OFFSET(AI40,0,-2)+1</f>
        <v>14</v>
      </c>
      <c r="AJ40" s="737">
        <f ca="1">OFFSET(AJ40,0,-1)</f>
        <v>14</v>
      </c>
      <c r="AK40" s="749">
        <f ca="1">OFFSET(AK40,0,-1)+1</f>
        <v>15</v>
      </c>
      <c r="AL40" s="65"/>
      <c r="AM40" s="65"/>
      <c r="AN40" s="65"/>
      <c r="AO40" s="65"/>
      <c r="AP40" s="65"/>
    </row>
    <row r="41" spans="1:42" ht="23.25" customHeight="1">
      <c r="A41" s="793" t="s">
        <v>268</v>
      </c>
      <c r="B41" s="793"/>
      <c r="C41" s="793"/>
      <c r="D41" s="793"/>
      <c r="E41" s="1287">
        <v>1</v>
      </c>
      <c r="F41" s="793"/>
      <c r="G41" s="793"/>
      <c r="H41" s="793"/>
      <c r="I41" s="793"/>
      <c r="J41" s="793"/>
      <c r="K41" s="793"/>
      <c r="L41" s="794"/>
      <c r="M41" s="433"/>
      <c r="N41" s="433"/>
      <c r="O41" s="433"/>
      <c r="Q41" s="2"/>
      <c r="R41" s="213"/>
      <c r="S41" s="725">
        <f>INDEX(PT_DIFFERENTIATION_NUM_NTAR,MATCH(A41,PT_DIFFERENTIATION_NTAR_ID,0))</f>
        <v>0</v>
      </c>
      <c r="T41" s="64" t="s">
        <v>139</v>
      </c>
      <c r="U41" s="170"/>
      <c r="V41" s="1281"/>
      <c r="W41" s="1282"/>
      <c r="X41" s="1282"/>
      <c r="Y41" s="1282"/>
      <c r="Z41" s="1282"/>
      <c r="AA41" s="1282"/>
      <c r="AB41" s="1283"/>
      <c r="AC41" s="1281" t="str">
        <f>INDEX(PT_DIFFERENTIATION_NTAR,MATCH(A41,PT_DIFFERENTIATION_NTAR_ID,0))</f>
        <v/>
      </c>
      <c r="AD41" s="1282"/>
      <c r="AE41" s="1282"/>
      <c r="AF41" s="1282"/>
      <c r="AG41" s="1282"/>
      <c r="AH41" s="1282"/>
      <c r="AI41" s="1282"/>
      <c r="AJ41" s="1283"/>
      <c r="AK41" s="7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3" t="s">
        <v>268</v>
      </c>
      <c r="B42" s="793" t="s">
        <v>269</v>
      </c>
      <c r="C42" s="793"/>
      <c r="D42" s="793"/>
      <c r="E42" s="1288"/>
      <c r="F42" s="1287">
        <v>1</v>
      </c>
      <c r="G42" s="793"/>
      <c r="H42" s="793"/>
      <c r="I42" s="793"/>
      <c r="J42" s="793"/>
      <c r="K42" s="793"/>
      <c r="L42" s="794"/>
      <c r="M42" s="433"/>
      <c r="N42" s="433"/>
      <c r="O42" s="433"/>
      <c r="P42" s="56"/>
      <c r="Q42" s="210"/>
      <c r="R42" s="211"/>
      <c r="S42" s="725" t="str">
        <f>INDEX(PT_DIFFERENTIATION_NUM_TER,MATCH(B42,PT_DIFFERENTIATION_TER_ID,0))</f>
        <v>.</v>
      </c>
      <c r="T42" s="178" t="s">
        <v>471</v>
      </c>
      <c r="U42" s="170"/>
      <c r="V42" s="1281"/>
      <c r="W42" s="1282"/>
      <c r="X42" s="1282"/>
      <c r="Y42" s="1282"/>
      <c r="Z42" s="1282"/>
      <c r="AA42" s="1282"/>
      <c r="AB42" s="1283"/>
      <c r="AC42" s="1281" t="str">
        <f>INDEX(PT_DIFFERENTIATION_TER,MATCH(B42,PT_DIFFERENTIATION_TER_ID,0))</f>
        <v/>
      </c>
      <c r="AD42" s="1282"/>
      <c r="AE42" s="1282"/>
      <c r="AF42" s="1282"/>
      <c r="AG42" s="1282"/>
      <c r="AH42" s="1282"/>
      <c r="AI42" s="1282"/>
      <c r="AJ42" s="1283"/>
      <c r="AK42" s="753" t="s">
        <v>472</v>
      </c>
      <c r="AM42" s="66"/>
      <c r="AN42" s="66" t="str">
        <f t="shared" si="1"/>
        <v>Территория действия тарифа</v>
      </c>
      <c r="AO42" s="66"/>
      <c r="AP42" s="66"/>
    </row>
    <row r="43" spans="1:42" ht="23.25" customHeight="1">
      <c r="A43" s="793" t="s">
        <v>268</v>
      </c>
      <c r="B43" s="793" t="s">
        <v>269</v>
      </c>
      <c r="C43" s="793" t="s">
        <v>270</v>
      </c>
      <c r="D43" s="793"/>
      <c r="E43" s="1288"/>
      <c r="F43" s="1288"/>
      <c r="G43" s="1287">
        <v>1</v>
      </c>
      <c r="H43" s="793"/>
      <c r="I43" s="793"/>
      <c r="J43" s="793"/>
      <c r="K43" s="793"/>
      <c r="L43" s="794"/>
      <c r="M43" s="433"/>
      <c r="N43" s="433"/>
      <c r="O43" s="433"/>
      <c r="P43" s="212"/>
      <c r="Q43" s="210"/>
      <c r="R43" s="211"/>
      <c r="S43" s="725" t="str">
        <f>INDEX(PT_DIFFERENTIATION_NUM_CS,MATCH(C43,PT_DIFFERENTIATION_CS_ID,0))</f>
        <v>..</v>
      </c>
      <c r="T43" s="179" t="s">
        <v>2076</v>
      </c>
      <c r="U43" s="170"/>
      <c r="V43" s="1281"/>
      <c r="W43" s="1282"/>
      <c r="X43" s="1282"/>
      <c r="Y43" s="1282"/>
      <c r="Z43" s="1282"/>
      <c r="AA43" s="1282"/>
      <c r="AB43" s="1283"/>
      <c r="AC43" s="1281" t="str">
        <f>INDEX(PT_DIFFERENTIATION_CS,MATCH(C43,PT_DIFFERENTIATION_CS_ID,0))</f>
        <v/>
      </c>
      <c r="AD43" s="1282"/>
      <c r="AE43" s="1282"/>
      <c r="AF43" s="1282"/>
      <c r="AG43" s="1282"/>
      <c r="AH43" s="1282"/>
      <c r="AI43" s="1282"/>
      <c r="AJ43" s="1283"/>
      <c r="AK43" s="753" t="s">
        <v>2077</v>
      </c>
      <c r="AM43" s="66"/>
      <c r="AN43" s="66" t="str">
        <f t="shared" si="1"/>
        <v>Наименование централизованной системы водоотведения</v>
      </c>
      <c r="AO43" s="66"/>
      <c r="AP43" s="66"/>
    </row>
    <row r="44" spans="1:42" ht="23.25" customHeight="1">
      <c r="A44" s="793" t="s">
        <v>268</v>
      </c>
      <c r="B44" s="793" t="s">
        <v>269</v>
      </c>
      <c r="C44" s="793" t="s">
        <v>270</v>
      </c>
      <c r="D44" s="793" t="s">
        <v>2080</v>
      </c>
      <c r="E44" s="1288"/>
      <c r="F44" s="1288"/>
      <c r="G44" s="1288"/>
      <c r="H44" s="1288"/>
      <c r="I44" s="1289" t="str">
        <f>S43&amp;".1"</f>
        <v>...1</v>
      </c>
      <c r="J44" s="793"/>
      <c r="K44" s="793"/>
      <c r="L44" s="794"/>
      <c r="P44" s="1211">
        <v>1</v>
      </c>
      <c r="Q44" s="119"/>
      <c r="R44" s="214"/>
      <c r="S44" s="725" t="str">
        <f>$I44</f>
        <v>...1</v>
      </c>
      <c r="T44" s="163" t="s">
        <v>1687</v>
      </c>
      <c r="U44" s="170"/>
      <c r="V44" s="1387"/>
      <c r="W44" s="1388"/>
      <c r="X44" s="1388"/>
      <c r="Y44" s="1388"/>
      <c r="Z44" s="1388"/>
      <c r="AA44" s="1388"/>
      <c r="AB44" s="1389"/>
      <c r="AC44" s="1390"/>
      <c r="AD44" s="1391"/>
      <c r="AE44" s="1391"/>
      <c r="AF44" s="1391"/>
      <c r="AG44" s="1391"/>
      <c r="AH44" s="1391"/>
      <c r="AI44" s="1391"/>
      <c r="AJ44" s="1392"/>
      <c r="AK44" s="753" t="s">
        <v>1688</v>
      </c>
      <c r="AM44" s="66"/>
      <c r="AN44" s="66" t="str">
        <f t="shared" si="1"/>
        <v>Наименование признака дифференциации</v>
      </c>
      <c r="AO44" s="66"/>
      <c r="AP44" s="66"/>
    </row>
    <row r="45" spans="1:42" ht="23.25" customHeight="1">
      <c r="A45" s="793" t="s">
        <v>268</v>
      </c>
      <c r="B45" s="793" t="s">
        <v>269</v>
      </c>
      <c r="C45" s="793" t="s">
        <v>270</v>
      </c>
      <c r="D45" s="793" t="s">
        <v>2080</v>
      </c>
      <c r="E45" s="1288"/>
      <c r="F45" s="1288"/>
      <c r="G45" s="1288"/>
      <c r="H45" s="1288"/>
      <c r="I45" s="1290"/>
      <c r="J45" s="1289" t="str">
        <f>I44&amp;".1"</f>
        <v>...1.1</v>
      </c>
      <c r="K45" s="793"/>
      <c r="L45" s="794" t="s">
        <v>480</v>
      </c>
      <c r="P45" s="1211"/>
      <c r="Q45" s="1211">
        <v>1</v>
      </c>
      <c r="R45" s="215"/>
      <c r="S45" s="725" t="str">
        <f>$J45</f>
        <v>...1.1</v>
      </c>
      <c r="T45" s="164" t="s">
        <v>481</v>
      </c>
      <c r="U45" s="170"/>
      <c r="V45" s="1275"/>
      <c r="W45" s="1276"/>
      <c r="X45" s="1276"/>
      <c r="Y45" s="1276"/>
      <c r="Z45" s="1276"/>
      <c r="AA45" s="1276"/>
      <c r="AB45" s="1277"/>
      <c r="AC45" s="1275"/>
      <c r="AD45" s="1276"/>
      <c r="AE45" s="1276"/>
      <c r="AF45" s="1276"/>
      <c r="AG45" s="1276"/>
      <c r="AH45" s="1276"/>
      <c r="AI45" s="1276"/>
      <c r="AJ45" s="1277"/>
      <c r="AK45" s="778" t="s">
        <v>1689</v>
      </c>
      <c r="AM45" s="66"/>
      <c r="AN45" s="66" t="str">
        <f t="shared" si="1"/>
        <v>Группа потребителей</v>
      </c>
      <c r="AO45" s="66"/>
      <c r="AP45" s="66"/>
    </row>
    <row r="46" spans="1:42" ht="23.25" customHeight="1">
      <c r="A46" s="793" t="s">
        <v>268</v>
      </c>
      <c r="B46" s="793" t="s">
        <v>269</v>
      </c>
      <c r="C46" s="793" t="s">
        <v>270</v>
      </c>
      <c r="D46" s="793" t="s">
        <v>2080</v>
      </c>
      <c r="E46" s="1288"/>
      <c r="F46" s="1288"/>
      <c r="G46" s="1288"/>
      <c r="H46" s="1288"/>
      <c r="I46" s="1290"/>
      <c r="J46" s="1290"/>
      <c r="K46" s="1289" t="str">
        <f>J45&amp;".1"</f>
        <v>...1.1.1</v>
      </c>
      <c r="L46" s="794"/>
      <c r="P46" s="1211"/>
      <c r="Q46" s="1211"/>
      <c r="R46" s="215">
        <v>1</v>
      </c>
      <c r="S46" s="725" t="str">
        <f>$K46</f>
        <v>...1.1.1</v>
      </c>
      <c r="T46" s="836"/>
      <c r="U46" s="170"/>
      <c r="V46" s="376"/>
      <c r="W46" s="376"/>
      <c r="X46" s="792"/>
      <c r="Y46" s="1285"/>
      <c r="Z46" s="1284" t="s">
        <v>59</v>
      </c>
      <c r="AA46" s="1285"/>
      <c r="AB46" s="1284" t="s">
        <v>59</v>
      </c>
      <c r="AC46" s="317"/>
      <c r="AD46" s="317"/>
      <c r="AE46" s="752"/>
      <c r="AF46" s="1291"/>
      <c r="AG46" s="1092" t="s">
        <v>59</v>
      </c>
      <c r="AH46" s="1293"/>
      <c r="AI46" s="1092" t="s">
        <v>57</v>
      </c>
      <c r="AJ46" s="837"/>
      <c r="AK46"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3" t="s">
        <v>268</v>
      </c>
      <c r="B47" s="793" t="s">
        <v>269</v>
      </c>
      <c r="C47" s="793" t="s">
        <v>270</v>
      </c>
      <c r="D47" s="793" t="s">
        <v>2080</v>
      </c>
      <c r="E47" s="1288"/>
      <c r="F47" s="1288"/>
      <c r="G47" s="1288"/>
      <c r="H47" s="1288"/>
      <c r="I47" s="1290"/>
      <c r="J47" s="1290"/>
      <c r="K47" s="1289"/>
      <c r="L47" s="794"/>
      <c r="P47" s="1211"/>
      <c r="Q47" s="1211"/>
      <c r="R47" s="215"/>
      <c r="S47" s="62"/>
      <c r="T47" s="170"/>
      <c r="U47" s="170"/>
      <c r="V47" s="376"/>
      <c r="W47" s="376"/>
      <c r="X47" s="198" t="str">
        <f>Y46&amp;"-"&amp;AA46</f>
        <v>-</v>
      </c>
      <c r="Y47" s="1284"/>
      <c r="Z47" s="1284"/>
      <c r="AA47" s="1284"/>
      <c r="AB47" s="1284"/>
      <c r="AC47" s="196"/>
      <c r="AD47" s="196"/>
      <c r="AE47" s="198" t="str">
        <f>AF46&amp;"-"&amp;AH46</f>
        <v>-</v>
      </c>
      <c r="AF47" s="1292"/>
      <c r="AG47" s="1092"/>
      <c r="AH47" s="1294"/>
      <c r="AI47" s="1092"/>
      <c r="AJ47" s="396"/>
      <c r="AK47" s="1393"/>
      <c r="AM47" s="66"/>
      <c r="AN47" s="66" t="str">
        <f t="shared" si="1"/>
        <v/>
      </c>
      <c r="AO47" s="66"/>
      <c r="AP47" s="66"/>
    </row>
    <row r="48" spans="1:42" ht="21" customHeight="1">
      <c r="A48" s="793" t="s">
        <v>268</v>
      </c>
      <c r="B48" s="793" t="s">
        <v>269</v>
      </c>
      <c r="C48" s="793" t="s">
        <v>270</v>
      </c>
      <c r="D48" s="793" t="s">
        <v>2080</v>
      </c>
      <c r="E48" s="1288"/>
      <c r="F48" s="1288"/>
      <c r="G48" s="1288"/>
      <c r="H48" s="1288"/>
      <c r="I48" s="1290"/>
      <c r="J48" s="1289"/>
      <c r="K48" s="793"/>
      <c r="L48" s="794"/>
      <c r="P48" s="1211"/>
      <c r="Q48" s="1211"/>
      <c r="R48" s="214"/>
      <c r="S48" s="767"/>
      <c r="T48" s="165" t="s">
        <v>1690</v>
      </c>
      <c r="U48" s="221"/>
      <c r="V48" s="221"/>
      <c r="W48" s="221"/>
      <c r="X48" s="221"/>
      <c r="Y48" s="221"/>
      <c r="Z48" s="221"/>
      <c r="AA48" s="221"/>
      <c r="AB48" s="221"/>
      <c r="AC48" s="221"/>
      <c r="AD48" s="221"/>
      <c r="AE48" s="221"/>
      <c r="AF48" s="221"/>
      <c r="AG48" s="221"/>
      <c r="AH48" s="221"/>
      <c r="AI48" s="221"/>
      <c r="AJ48" s="221"/>
      <c r="AK48" s="753" t="s">
        <v>1691</v>
      </c>
      <c r="AM48" s="66"/>
      <c r="AN48" s="66" t="str">
        <f t="shared" si="1"/>
        <v>Добавить значение признака дифференциации</v>
      </c>
      <c r="AO48" s="66"/>
      <c r="AP48" s="66"/>
    </row>
    <row r="49" spans="1:42" ht="21" customHeight="1">
      <c r="A49" s="793" t="s">
        <v>268</v>
      </c>
      <c r="B49" s="793" t="s">
        <v>269</v>
      </c>
      <c r="C49" s="793" t="s">
        <v>270</v>
      </c>
      <c r="D49" s="793" t="s">
        <v>2080</v>
      </c>
      <c r="E49" s="1288"/>
      <c r="F49" s="1288"/>
      <c r="G49" s="1288"/>
      <c r="H49" s="1288"/>
      <c r="I49" s="1289"/>
      <c r="J49" s="793"/>
      <c r="K49" s="793"/>
      <c r="L49" s="794"/>
      <c r="P49" s="1211"/>
      <c r="Q49" s="119"/>
      <c r="R49" s="214"/>
      <c r="S49" s="767"/>
      <c r="T49" s="219" t="s">
        <v>486</v>
      </c>
      <c r="U49" s="221"/>
      <c r="V49" s="221"/>
      <c r="W49" s="221"/>
      <c r="X49" s="221"/>
      <c r="Y49" s="221"/>
      <c r="Z49" s="221"/>
      <c r="AA49" s="221"/>
      <c r="AB49" s="197"/>
      <c r="AC49" s="221"/>
      <c r="AD49" s="221"/>
      <c r="AE49" s="221"/>
      <c r="AF49" s="221"/>
      <c r="AG49" s="221"/>
      <c r="AH49" s="221"/>
      <c r="AI49" s="197"/>
      <c r="AJ49" s="221"/>
      <c r="AK49" s="838"/>
      <c r="AM49" s="66"/>
      <c r="AN49" s="66" t="str">
        <f t="shared" si="1"/>
        <v>Добавить группу потребителей</v>
      </c>
      <c r="AO49" s="66"/>
      <c r="AP49" s="66"/>
    </row>
    <row r="50" spans="1:42" ht="21" customHeight="1">
      <c r="A50" s="793" t="s">
        <v>268</v>
      </c>
      <c r="B50" s="793" t="s">
        <v>269</v>
      </c>
      <c r="C50" s="793" t="s">
        <v>270</v>
      </c>
      <c r="D50" s="793" t="s">
        <v>2080</v>
      </c>
      <c r="E50" s="1288"/>
      <c r="F50" s="1288"/>
      <c r="G50" s="1288"/>
      <c r="H50" s="1287"/>
      <c r="I50" s="793"/>
      <c r="J50" s="793"/>
      <c r="K50" s="793"/>
      <c r="L50" s="794"/>
      <c r="M50" s="433"/>
      <c r="N50" s="433"/>
      <c r="O50" s="60"/>
      <c r="P50" s="2"/>
      <c r="Q50" s="224"/>
      <c r="R50" s="213"/>
      <c r="S50" s="767"/>
      <c r="T50" s="104" t="s">
        <v>1692</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268</v>
      </c>
      <c r="B51" s="142" t="s">
        <v>269</v>
      </c>
      <c r="C51" s="142"/>
      <c r="D51" s="142"/>
      <c r="E51" s="1288"/>
      <c r="F51" s="1287"/>
      <c r="G51" s="142"/>
      <c r="H51" s="142"/>
      <c r="I51" s="142"/>
      <c r="J51" s="142"/>
      <c r="K51" s="142"/>
      <c r="L51" s="355"/>
      <c r="M51" s="784"/>
      <c r="N51" s="784"/>
      <c r="P51" s="101"/>
      <c r="Q51" s="780"/>
      <c r="R51" s="101"/>
      <c r="S51" s="785"/>
      <c r="T51" s="787" t="s">
        <v>445</v>
      </c>
      <c r="U51" s="323"/>
      <c r="V51" s="323"/>
      <c r="W51" s="323"/>
      <c r="X51" s="323"/>
      <c r="Y51" s="323"/>
      <c r="Z51" s="323"/>
      <c r="AA51" s="323"/>
      <c r="AB51" s="323"/>
      <c r="AC51" s="323"/>
      <c r="AD51" s="323"/>
      <c r="AE51" s="323"/>
      <c r="AF51" s="323"/>
      <c r="AG51" s="323"/>
      <c r="AH51" s="323"/>
      <c r="AI51" s="323"/>
      <c r="AJ51" s="323"/>
      <c r="AK51" s="323"/>
      <c r="AM51" s="66"/>
      <c r="AN51" s="66" t="str">
        <f t="shared" si="1"/>
        <v>Добавить централизованную систему для дифференциации</v>
      </c>
      <c r="AO51" s="66"/>
      <c r="AP51" s="66"/>
    </row>
    <row r="52" spans="1:42" s="65" customFormat="1" ht="0" hidden="1" customHeight="1">
      <c r="A52" s="142" t="s">
        <v>268</v>
      </c>
      <c r="B52" s="142"/>
      <c r="C52" s="142"/>
      <c r="D52" s="142"/>
      <c r="E52" s="1287"/>
      <c r="F52" s="142"/>
      <c r="G52" s="142"/>
      <c r="H52" s="142"/>
      <c r="I52" s="142"/>
      <c r="J52" s="142"/>
      <c r="K52" s="142"/>
      <c r="L52" s="355"/>
      <c r="M52" s="784"/>
      <c r="N52" s="784"/>
      <c r="P52" s="101"/>
      <c r="Q52" s="780"/>
      <c r="R52" s="101"/>
      <c r="S52" s="785"/>
      <c r="T52" s="787" t="s">
        <v>446</v>
      </c>
      <c r="U52" s="323"/>
      <c r="V52" s="323"/>
      <c r="W52" s="323"/>
      <c r="X52" s="323"/>
      <c r="Y52" s="323"/>
      <c r="Z52" s="323"/>
      <c r="AA52" s="323"/>
      <c r="AB52" s="323"/>
      <c r="AC52" s="323"/>
      <c r="AD52" s="323"/>
      <c r="AE52" s="323"/>
      <c r="AF52" s="323"/>
      <c r="AG52" s="323"/>
      <c r="AH52" s="323"/>
      <c r="AI52" s="323"/>
      <c r="AJ52" s="323"/>
      <c r="AK52" s="323"/>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4"/>
      <c r="N53" s="784"/>
      <c r="P53" s="101"/>
      <c r="Q53" s="780"/>
      <c r="R53" s="101"/>
      <c r="S53" s="785"/>
      <c r="T53" s="787" t="s">
        <v>447</v>
      </c>
      <c r="U53" s="323"/>
      <c r="V53" s="323"/>
      <c r="W53" s="323"/>
      <c r="X53" s="323"/>
      <c r="Y53" s="323"/>
      <c r="Z53" s="323"/>
      <c r="AA53" s="323"/>
      <c r="AB53" s="323"/>
      <c r="AC53" s="323"/>
      <c r="AD53" s="323"/>
      <c r="AE53" s="323"/>
      <c r="AF53" s="323"/>
      <c r="AG53" s="323"/>
      <c r="AH53" s="323"/>
      <c r="AI53" s="323"/>
      <c r="AJ53" s="323"/>
      <c r="AK53" s="323"/>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519</v>
      </c>
      <c r="T55" s="1286" t="s">
        <v>2081</v>
      </c>
      <c r="U55" s="1286"/>
      <c r="V55" s="1286"/>
      <c r="W55" s="1286"/>
      <c r="X55" s="1286"/>
      <c r="Y55" s="1286"/>
      <c r="Z55" s="1286"/>
      <c r="AA55" s="1286"/>
      <c r="AB55" s="1286"/>
      <c r="AC55" s="1286"/>
      <c r="AD55" s="1286"/>
      <c r="AE55" s="1286"/>
      <c r="AF55" s="1286"/>
      <c r="AG55" s="1286"/>
      <c r="AH55" s="1286"/>
      <c r="AI55" s="1286"/>
      <c r="AJ55" s="1286"/>
      <c r="AK55" s="1286"/>
    </row>
    <row r="56" spans="1:42" ht="14.25" hidden="1" customHeight="1">
      <c r="O56" s="60"/>
    </row>
    <row r="57" spans="1:42" ht="14.25" hidden="1" customHeight="1">
      <c r="O57" s="60"/>
      <c r="S57" s="204" t="s">
        <v>519</v>
      </c>
      <c r="T57" s="1286" t="s">
        <v>2082</v>
      </c>
      <c r="U57" s="1286"/>
      <c r="V57" s="1286"/>
      <c r="W57" s="1286"/>
      <c r="X57" s="1286"/>
      <c r="Y57" s="1286"/>
      <c r="Z57" s="1286"/>
      <c r="AA57" s="1286"/>
      <c r="AB57" s="1286"/>
      <c r="AC57" s="1286"/>
      <c r="AD57" s="1286"/>
      <c r="AE57" s="1286"/>
      <c r="AF57" s="1286"/>
      <c r="AG57" s="1286"/>
      <c r="AH57" s="1286"/>
      <c r="AI57" s="1286"/>
      <c r="AJ57" s="1286"/>
      <c r="AK57" s="128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3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3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3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3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3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3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A6578-DAB4-5177-5DA8-694F8B6507CA}">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3"/>
      <c r="B2" s="793"/>
      <c r="C2" s="793"/>
      <c r="D2" s="793"/>
      <c r="E2" s="1287">
        <v>1</v>
      </c>
      <c r="F2" s="793"/>
      <c r="G2" s="793"/>
      <c r="H2" s="793"/>
      <c r="I2" s="793"/>
      <c r="J2" s="793"/>
      <c r="K2" s="793"/>
      <c r="L2" s="794"/>
      <c r="M2" s="433"/>
      <c r="N2" s="433"/>
      <c r="O2" s="433"/>
      <c r="Q2" s="2"/>
      <c r="R2" s="213"/>
      <c r="S2" s="725" t="e">
        <f>INDEX(PT_DIFFERENTIATION_NUM_NTAR,MATCH(A2,PT_DIFFERENTIATION_NTAR_ID,0))</f>
        <v>#N/A</v>
      </c>
      <c r="T2" s="64" t="s">
        <v>139</v>
      </c>
      <c r="U2" s="170"/>
      <c r="V2" s="1281"/>
      <c r="W2" s="1282"/>
      <c r="X2" s="1282"/>
      <c r="Y2" s="1282"/>
      <c r="Z2" s="1282"/>
      <c r="AA2" s="1282"/>
      <c r="AB2" s="1283"/>
      <c r="AC2" s="1281" t="e">
        <f>INDEX(PT_DIFFERENTIATION_NTAR,MATCH(A2,PT_DIFFERENTIATION_NTAR_ID,0))</f>
        <v>#N/A</v>
      </c>
      <c r="AD2" s="1282"/>
      <c r="AE2" s="1282"/>
      <c r="AF2" s="1282"/>
      <c r="AG2" s="1282"/>
      <c r="AH2" s="1282"/>
      <c r="AI2" s="1282"/>
      <c r="AJ2" s="1283"/>
      <c r="AK2" s="7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3"/>
      <c r="B3" s="793"/>
      <c r="C3" s="793"/>
      <c r="D3" s="793"/>
      <c r="E3" s="1288"/>
      <c r="F3" s="1287">
        <v>1</v>
      </c>
      <c r="G3" s="793"/>
      <c r="H3" s="793"/>
      <c r="I3" s="793"/>
      <c r="J3" s="793"/>
      <c r="K3" s="793"/>
      <c r="L3" s="794"/>
      <c r="M3" s="433"/>
      <c r="N3" s="433"/>
      <c r="O3" s="433"/>
      <c r="P3" s="56"/>
      <c r="Q3" s="210"/>
      <c r="R3" s="211"/>
      <c r="S3" s="725" t="e">
        <f>INDEX(PT_DIFFERENTIATION_NUM_TER,MATCH(B3,PT_DIFFERENTIATION_TER_ID,0))</f>
        <v>#N/A</v>
      </c>
      <c r="T3" s="178" t="s">
        <v>471</v>
      </c>
      <c r="U3" s="170"/>
      <c r="V3" s="1281"/>
      <c r="W3" s="1282"/>
      <c r="X3" s="1282"/>
      <c r="Y3" s="1282"/>
      <c r="Z3" s="1282"/>
      <c r="AA3" s="1282"/>
      <c r="AB3" s="1283"/>
      <c r="AC3" s="1281" t="e">
        <f>INDEX(PT_DIFFERENTIATION_TER,MATCH(B3,PT_DIFFERENTIATION_TER_ID,0))</f>
        <v>#N/A</v>
      </c>
      <c r="AD3" s="1282"/>
      <c r="AE3" s="1282"/>
      <c r="AF3" s="1282"/>
      <c r="AG3" s="1282"/>
      <c r="AH3" s="1282"/>
      <c r="AI3" s="1282"/>
      <c r="AJ3" s="1283"/>
      <c r="AK3" s="753" t="s">
        <v>472</v>
      </c>
      <c r="AM3" s="66"/>
      <c r="AN3" s="66" t="str">
        <f t="shared" si="0"/>
        <v>Территория действия тарифа</v>
      </c>
      <c r="AO3" s="66"/>
      <c r="AP3" s="66"/>
    </row>
    <row r="4" spans="1:42" ht="23.25" hidden="1" customHeight="1">
      <c r="A4" s="793"/>
      <c r="B4" s="793"/>
      <c r="C4" s="793"/>
      <c r="D4" s="793"/>
      <c r="E4" s="1288"/>
      <c r="F4" s="1288"/>
      <c r="G4" s="1287">
        <v>1</v>
      </c>
      <c r="H4" s="793"/>
      <c r="I4" s="793"/>
      <c r="J4" s="793"/>
      <c r="K4" s="793"/>
      <c r="L4" s="794"/>
      <c r="M4" s="433"/>
      <c r="N4" s="433"/>
      <c r="O4" s="433"/>
      <c r="P4" s="212"/>
      <c r="Q4" s="210"/>
      <c r="R4" s="211"/>
      <c r="S4" s="725" t="e">
        <f>INDEX(PT_DIFFERENTIATION_NUM_CS,MATCH(C4,PT_DIFFERENTIATION_CS_ID,0))</f>
        <v>#N/A</v>
      </c>
      <c r="T4" s="179" t="s">
        <v>2076</v>
      </c>
      <c r="U4" s="170"/>
      <c r="V4" s="1281"/>
      <c r="W4" s="1282"/>
      <c r="X4" s="1282"/>
      <c r="Y4" s="1282"/>
      <c r="Z4" s="1282"/>
      <c r="AA4" s="1282"/>
      <c r="AB4" s="1283"/>
      <c r="AC4" s="1281" t="e">
        <f>INDEX(PT_DIFFERENTIATION_CS,MATCH(C4,PT_DIFFERENTIATION_CS_ID,0))</f>
        <v>#N/A</v>
      </c>
      <c r="AD4" s="1282"/>
      <c r="AE4" s="1282"/>
      <c r="AF4" s="1282"/>
      <c r="AG4" s="1282"/>
      <c r="AH4" s="1282"/>
      <c r="AI4" s="1282"/>
      <c r="AJ4" s="1283"/>
      <c r="AK4" s="753" t="s">
        <v>2077</v>
      </c>
      <c r="AM4" s="66"/>
      <c r="AN4" s="66" t="str">
        <f t="shared" si="0"/>
        <v>Наименование централизованной системы водоотведения</v>
      </c>
      <c r="AO4" s="66"/>
      <c r="AP4" s="66"/>
    </row>
    <row r="5" spans="1:42" ht="23.25" hidden="1" customHeight="1">
      <c r="A5" s="793"/>
      <c r="B5" s="793"/>
      <c r="C5" s="793"/>
      <c r="D5" s="793"/>
      <c r="E5" s="1288"/>
      <c r="F5" s="1288"/>
      <c r="G5" s="1288"/>
      <c r="H5" s="1288"/>
      <c r="I5" s="1289" t="e">
        <f>S4&amp;".1"</f>
        <v>#N/A</v>
      </c>
      <c r="J5" s="793"/>
      <c r="K5" s="793"/>
      <c r="L5" s="794"/>
      <c r="P5" s="1211">
        <v>1</v>
      </c>
      <c r="Q5" s="119"/>
      <c r="R5" s="214"/>
      <c r="S5" s="725" t="e">
        <f>$I5</f>
        <v>#N/A</v>
      </c>
      <c r="T5" s="163" t="s">
        <v>1687</v>
      </c>
      <c r="U5" s="170"/>
      <c r="V5" s="1387"/>
      <c r="W5" s="1388"/>
      <c r="X5" s="1388"/>
      <c r="Y5" s="1388"/>
      <c r="Z5" s="1388"/>
      <c r="AA5" s="1388"/>
      <c r="AB5" s="1389"/>
      <c r="AC5" s="1390"/>
      <c r="AD5" s="1391"/>
      <c r="AE5" s="1391"/>
      <c r="AF5" s="1391"/>
      <c r="AG5" s="1391"/>
      <c r="AH5" s="1391"/>
      <c r="AI5" s="1391"/>
      <c r="AJ5" s="1392"/>
      <c r="AK5" s="753" t="s">
        <v>1688</v>
      </c>
      <c r="AM5" s="66"/>
      <c r="AN5" s="66" t="str">
        <f t="shared" si="0"/>
        <v>Наименование признака дифференциации</v>
      </c>
      <c r="AO5" s="66"/>
      <c r="AP5" s="66"/>
    </row>
    <row r="6" spans="1:42" ht="23.25" hidden="1" customHeight="1">
      <c r="A6" s="793"/>
      <c r="B6" s="793"/>
      <c r="C6" s="793"/>
      <c r="D6" s="793"/>
      <c r="E6" s="1288"/>
      <c r="F6" s="1288"/>
      <c r="G6" s="1288"/>
      <c r="H6" s="1288"/>
      <c r="I6" s="1290"/>
      <c r="J6" s="1289" t="e">
        <f>I5&amp;".1"</f>
        <v>#N/A</v>
      </c>
      <c r="K6" s="793"/>
      <c r="L6" s="794" t="s">
        <v>480</v>
      </c>
      <c r="P6" s="1211"/>
      <c r="Q6" s="1211">
        <v>1</v>
      </c>
      <c r="R6" s="215"/>
      <c r="S6" s="725" t="e">
        <f>$J6</f>
        <v>#N/A</v>
      </c>
      <c r="T6" s="164" t="s">
        <v>481</v>
      </c>
      <c r="U6" s="170"/>
      <c r="V6" s="1275"/>
      <c r="W6" s="1276"/>
      <c r="X6" s="1276"/>
      <c r="Y6" s="1276"/>
      <c r="Z6" s="1276"/>
      <c r="AA6" s="1276"/>
      <c r="AB6" s="1277"/>
      <c r="AC6" s="1275"/>
      <c r="AD6" s="1276"/>
      <c r="AE6" s="1276"/>
      <c r="AF6" s="1276"/>
      <c r="AG6" s="1276"/>
      <c r="AH6" s="1276"/>
      <c r="AI6" s="1276"/>
      <c r="AJ6" s="1277"/>
      <c r="AK6" s="778" t="s">
        <v>1689</v>
      </c>
      <c r="AM6" s="66"/>
      <c r="AN6" s="66" t="str">
        <f t="shared" si="0"/>
        <v>Группа потребителей</v>
      </c>
      <c r="AO6" s="66"/>
      <c r="AP6" s="66"/>
    </row>
    <row r="7" spans="1:42" ht="23.25" hidden="1" customHeight="1">
      <c r="A7" s="793"/>
      <c r="B7" s="793"/>
      <c r="C7" s="793"/>
      <c r="D7" s="793"/>
      <c r="E7" s="1288"/>
      <c r="F7" s="1288"/>
      <c r="G7" s="1288"/>
      <c r="H7" s="1288"/>
      <c r="I7" s="1290"/>
      <c r="J7" s="1290"/>
      <c r="K7" s="1289" t="e">
        <f>J6&amp;".1"</f>
        <v>#N/A</v>
      </c>
      <c r="L7" s="794"/>
      <c r="P7" s="1211"/>
      <c r="Q7" s="1211"/>
      <c r="R7" s="215">
        <v>1</v>
      </c>
      <c r="S7" s="725" t="e">
        <f>$K7</f>
        <v>#N/A</v>
      </c>
      <c r="T7" s="836"/>
      <c r="U7" s="170"/>
      <c r="V7" s="317"/>
      <c r="W7" s="317"/>
      <c r="X7" s="752"/>
      <c r="Y7" s="1291"/>
      <c r="Z7" s="1092" t="s">
        <v>59</v>
      </c>
      <c r="AA7" s="1291"/>
      <c r="AB7" s="1092" t="s">
        <v>59</v>
      </c>
      <c r="AC7" s="317"/>
      <c r="AD7" s="317"/>
      <c r="AE7" s="752"/>
      <c r="AF7" s="1291"/>
      <c r="AG7" s="1092" t="s">
        <v>59</v>
      </c>
      <c r="AH7" s="1293"/>
      <c r="AI7" s="1092" t="s">
        <v>59</v>
      </c>
      <c r="AJ7" s="837"/>
      <c r="AK7"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3"/>
      <c r="B8" s="793"/>
      <c r="C8" s="793"/>
      <c r="D8" s="793"/>
      <c r="E8" s="1288"/>
      <c r="F8" s="1288"/>
      <c r="G8" s="1288"/>
      <c r="H8" s="1288"/>
      <c r="I8" s="1290"/>
      <c r="J8" s="1290"/>
      <c r="K8" s="1289"/>
      <c r="L8" s="794"/>
      <c r="P8" s="1211"/>
      <c r="Q8" s="1211"/>
      <c r="R8" s="215"/>
      <c r="S8" s="62"/>
      <c r="T8" s="170"/>
      <c r="U8" s="170"/>
      <c r="V8" s="196"/>
      <c r="W8" s="196"/>
      <c r="X8" s="198" t="str">
        <f>Y7&amp;"-"&amp;AA7</f>
        <v>-</v>
      </c>
      <c r="Y8" s="1292"/>
      <c r="Z8" s="1092"/>
      <c r="AA8" s="1292"/>
      <c r="AB8" s="1092"/>
      <c r="AC8" s="196"/>
      <c r="AD8" s="196"/>
      <c r="AE8" s="198" t="str">
        <f>AF7&amp;"-"&amp;AH7</f>
        <v>-</v>
      </c>
      <c r="AF8" s="1292"/>
      <c r="AG8" s="1092"/>
      <c r="AH8" s="1294"/>
      <c r="AI8" s="1092"/>
      <c r="AJ8" s="396"/>
      <c r="AK8" s="1393"/>
      <c r="AM8" s="66"/>
      <c r="AN8" s="66" t="str">
        <f t="shared" si="0"/>
        <v/>
      </c>
      <c r="AO8" s="66"/>
      <c r="AP8" s="66"/>
    </row>
    <row r="9" spans="1:42" ht="21" hidden="1" customHeight="1">
      <c r="A9" s="793"/>
      <c r="B9" s="793"/>
      <c r="C9" s="793"/>
      <c r="D9" s="793"/>
      <c r="E9" s="1288"/>
      <c r="F9" s="1288"/>
      <c r="G9" s="1288"/>
      <c r="H9" s="1288"/>
      <c r="I9" s="1290"/>
      <c r="J9" s="1289"/>
      <c r="K9" s="793"/>
      <c r="L9" s="794"/>
      <c r="P9" s="1211"/>
      <c r="Q9" s="1211"/>
      <c r="R9" s="214"/>
      <c r="S9" s="767"/>
      <c r="T9" s="165" t="s">
        <v>1690</v>
      </c>
      <c r="U9" s="221"/>
      <c r="V9" s="221"/>
      <c r="W9" s="221"/>
      <c r="X9" s="221"/>
      <c r="Y9" s="221"/>
      <c r="Z9" s="221"/>
      <c r="AA9" s="221"/>
      <c r="AB9" s="221"/>
      <c r="AC9" s="221"/>
      <c r="AD9" s="221"/>
      <c r="AE9" s="221"/>
      <c r="AF9" s="221"/>
      <c r="AG9" s="221"/>
      <c r="AH9" s="221"/>
      <c r="AI9" s="221"/>
      <c r="AJ9" s="221"/>
      <c r="AK9" s="753" t="s">
        <v>1691</v>
      </c>
      <c r="AM9" s="66"/>
      <c r="AN9" s="66" t="str">
        <f t="shared" si="0"/>
        <v>Добавить значение признака дифференциации</v>
      </c>
      <c r="AO9" s="66"/>
      <c r="AP9" s="66"/>
    </row>
    <row r="10" spans="1:42" ht="21" hidden="1" customHeight="1">
      <c r="A10" s="793"/>
      <c r="B10" s="793"/>
      <c r="C10" s="793"/>
      <c r="D10" s="793"/>
      <c r="E10" s="1288"/>
      <c r="F10" s="1288"/>
      <c r="G10" s="1288"/>
      <c r="H10" s="1288"/>
      <c r="I10" s="1289"/>
      <c r="J10" s="793"/>
      <c r="K10" s="793"/>
      <c r="L10" s="794"/>
      <c r="P10" s="1211"/>
      <c r="Q10" s="119"/>
      <c r="R10" s="214"/>
      <c r="S10" s="767"/>
      <c r="T10" s="219" t="s">
        <v>486</v>
      </c>
      <c r="U10" s="221"/>
      <c r="V10" s="221"/>
      <c r="W10" s="221"/>
      <c r="X10" s="221"/>
      <c r="Y10" s="221"/>
      <c r="Z10" s="221"/>
      <c r="AA10" s="221"/>
      <c r="AB10" s="197"/>
      <c r="AC10" s="221"/>
      <c r="AD10" s="221"/>
      <c r="AE10" s="221"/>
      <c r="AF10" s="221"/>
      <c r="AG10" s="221"/>
      <c r="AH10" s="221"/>
      <c r="AI10" s="197"/>
      <c r="AJ10" s="221"/>
      <c r="AK10" s="838"/>
      <c r="AM10" s="66"/>
      <c r="AN10" s="66" t="str">
        <f t="shared" si="0"/>
        <v>Добавить группу потребителей</v>
      </c>
      <c r="AO10" s="66"/>
      <c r="AP10" s="66"/>
    </row>
    <row r="11" spans="1:42" ht="21" hidden="1" customHeight="1">
      <c r="A11" s="793"/>
      <c r="B11" s="793"/>
      <c r="C11" s="793"/>
      <c r="D11" s="793"/>
      <c r="E11" s="1288"/>
      <c r="F11" s="1288"/>
      <c r="G11" s="1288"/>
      <c r="H11" s="1287"/>
      <c r="I11" s="793"/>
      <c r="J11" s="793"/>
      <c r="K11" s="793"/>
      <c r="L11" s="794"/>
      <c r="M11" s="433"/>
      <c r="N11" s="433"/>
      <c r="O11" s="60"/>
      <c r="P11" s="2"/>
      <c r="Q11" s="224"/>
      <c r="R11" s="213"/>
      <c r="S11" s="767"/>
      <c r="T11" s="104" t="s">
        <v>1692</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88"/>
      <c r="F12" s="1287"/>
      <c r="G12" s="142"/>
      <c r="H12" s="142"/>
      <c r="I12" s="142"/>
      <c r="J12" s="142"/>
      <c r="K12" s="142"/>
      <c r="L12" s="355"/>
      <c r="M12" s="784"/>
      <c r="N12" s="784"/>
      <c r="P12" s="101"/>
      <c r="Q12" s="780"/>
      <c r="R12" s="101"/>
      <c r="S12" s="785"/>
      <c r="T12" s="787" t="s">
        <v>445</v>
      </c>
      <c r="U12" s="323"/>
      <c r="V12" s="323"/>
      <c r="W12" s="323"/>
      <c r="X12" s="323"/>
      <c r="Y12" s="323"/>
      <c r="Z12" s="323"/>
      <c r="AA12" s="323"/>
      <c r="AB12" s="323"/>
      <c r="AC12" s="323"/>
      <c r="AD12" s="323"/>
      <c r="AE12" s="323"/>
      <c r="AF12" s="323"/>
      <c r="AG12" s="323"/>
      <c r="AH12" s="323"/>
      <c r="AI12" s="323"/>
      <c r="AJ12" s="323"/>
      <c r="AK12" s="323"/>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87"/>
      <c r="F13" s="142"/>
      <c r="G13" s="142"/>
      <c r="H13" s="142"/>
      <c r="I13" s="142"/>
      <c r="J13" s="142"/>
      <c r="K13" s="142"/>
      <c r="L13" s="355"/>
      <c r="M13" s="784"/>
      <c r="N13" s="784"/>
      <c r="P13" s="101"/>
      <c r="Q13" s="780"/>
      <c r="R13" s="101"/>
      <c r="S13" s="785"/>
      <c r="T13" s="787" t="s">
        <v>446</v>
      </c>
      <c r="U13" s="323"/>
      <c r="V13" s="323"/>
      <c r="W13" s="323"/>
      <c r="X13" s="323"/>
      <c r="Y13" s="323"/>
      <c r="Z13" s="323"/>
      <c r="AA13" s="323"/>
      <c r="AB13" s="323"/>
      <c r="AC13" s="323"/>
      <c r="AD13" s="323"/>
      <c r="AE13" s="323"/>
      <c r="AF13" s="323"/>
      <c r="AG13" s="323"/>
      <c r="AH13" s="323"/>
      <c r="AI13" s="323"/>
      <c r="AJ13" s="323"/>
      <c r="AK13" s="323"/>
      <c r="AM13" s="66"/>
      <c r="AN13" s="66" t="str">
        <f t="shared" si="0"/>
        <v>Добавить территорию для дифференциации</v>
      </c>
      <c r="AO13" s="66"/>
      <c r="AP13" s="66"/>
    </row>
    <row r="14" spans="1:42" ht="14.25" hidden="1" customHeight="1"/>
    <row r="15" spans="1:42" ht="14.25" hidden="1" customHeight="1">
      <c r="AC15" s="376"/>
      <c r="AD15" s="376"/>
      <c r="AE15" s="792"/>
      <c r="AF15" s="1285"/>
      <c r="AG15" s="1284" t="s">
        <v>59</v>
      </c>
      <c r="AH15" s="1285"/>
      <c r="AI15" s="1284" t="s">
        <v>59</v>
      </c>
    </row>
    <row r="16" spans="1:42" ht="14.25" hidden="1" customHeight="1">
      <c r="AC16" s="376"/>
      <c r="AD16" s="376"/>
      <c r="AE16" s="198" t="str">
        <f>AF15&amp;"-"&amp;AH15</f>
        <v>-</v>
      </c>
      <c r="AF16" s="1284"/>
      <c r="AG16" s="1284"/>
      <c r="AH16" s="1284"/>
      <c r="AI16" s="1284"/>
    </row>
    <row r="17" spans="1:42" ht="14.25" hidden="1" customHeight="1"/>
    <row r="18" spans="1:42" s="60" customFormat="1" ht="22.5" hidden="1" customHeight="1">
      <c r="L18" s="312"/>
      <c r="M18" s="519"/>
      <c r="N18" s="519"/>
      <c r="O18" s="795" t="s">
        <v>488</v>
      </c>
      <c r="P18" s="519"/>
      <c r="Q18" s="796"/>
      <c r="R18" s="796"/>
      <c r="S18" s="433"/>
      <c r="Y18" s="795"/>
      <c r="AA18" s="795"/>
      <c r="AF18" s="795"/>
      <c r="AH18" s="795"/>
      <c r="AL18" s="65"/>
      <c r="AM18" s="65"/>
      <c r="AN18" s="65"/>
      <c r="AO18" s="65"/>
      <c r="AP18" s="65"/>
    </row>
    <row r="19" spans="1:42" s="60" customFormat="1" ht="14.25" hidden="1" customHeight="1">
      <c r="L19" s="312"/>
      <c r="M19" s="519"/>
      <c r="N19" s="519"/>
      <c r="O19" s="519"/>
      <c r="P19" s="519"/>
      <c r="Q19" s="796"/>
      <c r="R19" s="796"/>
      <c r="S19" s="433"/>
      <c r="AL19" s="65"/>
      <c r="AM19" s="65"/>
      <c r="AN19" s="65"/>
      <c r="AO19" s="65"/>
      <c r="AP19" s="65"/>
    </row>
    <row r="20" spans="1:42" s="60" customFormat="1" ht="12" hidden="1" customHeight="1">
      <c r="L20" s="312"/>
      <c r="M20" s="519"/>
      <c r="N20" s="519"/>
      <c r="O20" s="794" t="s">
        <v>489</v>
      </c>
      <c r="P20" s="519"/>
      <c r="Q20" s="839"/>
      <c r="R20" s="839"/>
      <c r="S20" s="433"/>
      <c r="T20" s="60" t="s">
        <v>490</v>
      </c>
      <c r="Z20" s="79" t="s">
        <v>491</v>
      </c>
      <c r="AB20" s="79" t="s">
        <v>492</v>
      </c>
      <c r="AC20" s="60" t="s">
        <v>490</v>
      </c>
      <c r="AG20" s="79" t="s">
        <v>493</v>
      </c>
      <c r="AI20" s="79" t="s">
        <v>492</v>
      </c>
    </row>
    <row r="21" spans="1:42" ht="14.25" hidden="1" customHeight="1">
      <c r="O21" s="794"/>
    </row>
    <row r="22" spans="1:42" ht="14.25" hidden="1" customHeight="1">
      <c r="O22" s="794"/>
    </row>
    <row r="23" spans="1:42" ht="14.25" customHeight="1">
      <c r="Q23" s="27"/>
      <c r="R23" s="27"/>
      <c r="S23" s="764"/>
      <c r="T23" s="8"/>
      <c r="U23" s="8"/>
    </row>
    <row r="24" spans="1:42" ht="32.25" customHeight="1">
      <c r="Q24" s="27"/>
      <c r="R24" s="27"/>
      <c r="S24" s="1312"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1312"/>
      <c r="U24" s="1312"/>
      <c r="V24" s="1312"/>
      <c r="W24" s="1312"/>
      <c r="X24" s="1312"/>
      <c r="Y24" s="1312"/>
      <c r="Z24" s="1312"/>
      <c r="AA24" s="1312"/>
      <c r="AB24" s="1312"/>
      <c r="AC24" s="1312"/>
      <c r="AD24" s="1312"/>
      <c r="AE24" s="1312"/>
      <c r="AF24" s="1312"/>
      <c r="AG24" s="1312"/>
      <c r="AH24" s="1312"/>
      <c r="AI24" s="57"/>
    </row>
    <row r="25" spans="1:42" ht="14.25" customHeight="1">
      <c r="Q25" s="27"/>
      <c r="R25" s="27"/>
      <c r="S25" s="1178" t="str">
        <f>IF(org=0,"Не определено",org)</f>
        <v>ООО "Концессионная Коммунальная Компания"</v>
      </c>
      <c r="T25" s="1178"/>
      <c r="U25" s="1178"/>
      <c r="V25" s="1178"/>
      <c r="W25" s="1178"/>
      <c r="X25" s="1178"/>
      <c r="Y25" s="1178"/>
      <c r="Z25" s="1178"/>
      <c r="AA25" s="1178"/>
      <c r="AB25" s="1178"/>
      <c r="AC25" s="1178"/>
      <c r="AD25" s="1178"/>
      <c r="AE25" s="1178"/>
      <c r="AF25" s="1178"/>
      <c r="AG25" s="1178"/>
      <c r="AH25" s="1178"/>
      <c r="AI25" s="57"/>
    </row>
    <row r="26" spans="1:42" ht="14.25" hidden="1" customHeight="1">
      <c r="Q26" s="27"/>
      <c r="R26" s="27"/>
      <c r="S26" s="764"/>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4"/>
      <c r="M27" s="79"/>
      <c r="N27" s="79"/>
      <c r="O27" s="79"/>
      <c r="S27" s="1278" t="s">
        <v>40</v>
      </c>
      <c r="T27" s="1278"/>
      <c r="U27" s="797"/>
      <c r="V27" s="1280" t="str">
        <f>IF(TITLE_NAME_OR_PR_CHANGE="",IF(TITLE_NAME_OR_PR="","",TITLE_NAME_OR_PR),TITLE_NAME_OR_PR_CHANGE)</f>
        <v/>
      </c>
      <c r="W27" s="1280"/>
      <c r="X27" s="1280"/>
      <c r="Y27" s="1280"/>
      <c r="Z27" s="1280"/>
      <c r="AA27" s="1280"/>
      <c r="AB27" s="9"/>
      <c r="AC27" s="1280" t="str">
        <f>IF(TITLE_NAME_OR_PR_CHANGE="",IF(TITLE_NAME_OR_PR="","",TITLE_NAME_OR_PR),TITLE_NAME_OR_PR_CHANGE)</f>
        <v/>
      </c>
      <c r="AD27" s="1280"/>
      <c r="AE27" s="1280"/>
      <c r="AF27" s="1280"/>
      <c r="AG27" s="1280"/>
      <c r="AH27" s="1280"/>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4"/>
      <c r="M28" s="79"/>
      <c r="N28" s="79"/>
      <c r="O28" s="79"/>
      <c r="S28" s="1278" t="s">
        <v>494</v>
      </c>
      <c r="T28" s="1278"/>
      <c r="U28" s="797"/>
      <c r="V28" s="1279" t="str">
        <f>IF(TITLE_DATE_CHANGE_PERIOD="",IF(TITLE_DATE_PR="","",TITLE_DATE_PR),TITLE_DATE_CHANGE_PERIOD)</f>
        <v/>
      </c>
      <c r="W28" s="1279"/>
      <c r="X28" s="1279"/>
      <c r="Y28" s="1279"/>
      <c r="Z28" s="1279"/>
      <c r="AA28" s="1279"/>
      <c r="AB28" s="9"/>
      <c r="AC28" s="1279" t="str">
        <f>IF(TITLE_DATE_CHANGE_PERIOD="",IF(TITLE_DATE_PR="","",TITLE_DATE_PR),TITLE_DATE_CHANGE_PERIOD)</f>
        <v/>
      </c>
      <c r="AD28" s="1279"/>
      <c r="AE28" s="1279"/>
      <c r="AF28" s="1279"/>
      <c r="AG28" s="1279"/>
      <c r="AH28" s="1279"/>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4"/>
      <c r="M29" s="79"/>
      <c r="N29" s="79"/>
      <c r="O29" s="79"/>
      <c r="S29" s="1278" t="s">
        <v>495</v>
      </c>
      <c r="T29" s="1278"/>
      <c r="U29" s="797"/>
      <c r="V29" s="1280" t="str">
        <f>IF(TITLE_NUMBER_PR_CHANGE="",IF(TITLE_NUMBER_PR="","",TITLE_NUMBER_PR),TITLE_NUMBER_PR_CHANGE)</f>
        <v/>
      </c>
      <c r="W29" s="1280"/>
      <c r="X29" s="1280"/>
      <c r="Y29" s="1280"/>
      <c r="Z29" s="1280"/>
      <c r="AA29" s="1280"/>
      <c r="AB29" s="9"/>
      <c r="AC29" s="1280" t="str">
        <f>IF(TITLE_NUMBER_PR_CHANGE="",IF(TITLE_NUMBER_PR="","",TITLE_NUMBER_PR),TITLE_NUMBER_PR_CHANGE)</f>
        <v/>
      </c>
      <c r="AD29" s="1280"/>
      <c r="AE29" s="1280"/>
      <c r="AF29" s="1280"/>
      <c r="AG29" s="1280"/>
      <c r="AH29" s="1280"/>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4"/>
      <c r="M30" s="79"/>
      <c r="N30" s="79"/>
      <c r="O30" s="79"/>
      <c r="S30" s="1278" t="s">
        <v>41</v>
      </c>
      <c r="T30" s="1278"/>
      <c r="U30" s="797"/>
      <c r="V30" s="1280" t="str">
        <f>IF(TITLE_IST_PUB_CHANGE="",IF(TITLE_IST_PUB="","",TITLE_IST_PUB),TITLE_IST_PUB_CHANGE)</f>
        <v/>
      </c>
      <c r="W30" s="1280"/>
      <c r="X30" s="1280"/>
      <c r="Y30" s="1280"/>
      <c r="Z30" s="1280"/>
      <c r="AA30" s="1280"/>
      <c r="AB30" s="9"/>
      <c r="AC30" s="1280" t="str">
        <f>IF(TITLE_IST_PUB_CHANGE="",IF(TITLE_IST_PUB="","",TITLE_IST_PUB),TITLE_IST_PUB_CHANGE)</f>
        <v/>
      </c>
      <c r="AD30" s="1280"/>
      <c r="AE30" s="1280"/>
      <c r="AF30" s="1280"/>
      <c r="AG30" s="1280"/>
      <c r="AH30" s="1280"/>
      <c r="AI30" s="9"/>
      <c r="AJ30" s="9"/>
      <c r="AK30" s="162"/>
      <c r="AL30" s="66"/>
      <c r="AM30" s="66"/>
      <c r="AN30" s="66"/>
      <c r="AO30" s="66"/>
      <c r="AP30" s="66"/>
    </row>
    <row r="31" spans="1:42" ht="14.25" hidden="1" customHeight="1">
      <c r="Q31" s="27"/>
      <c r="R31" s="27"/>
      <c r="S31" s="764"/>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4"/>
      <c r="M32" s="79"/>
      <c r="N32" s="79"/>
      <c r="O32" s="79"/>
      <c r="S32" s="1278" t="s">
        <v>496</v>
      </c>
      <c r="T32" s="1278"/>
      <c r="U32" s="797"/>
      <c r="V32" s="1279" t="str">
        <f>IF(TITLE_DATE_CHANGE_PERIOD="",IF(TITLE_DATE_PR="","",TITLE_DATE_PR),TITLE_DATE_CHANGE_PERIOD)</f>
        <v/>
      </c>
      <c r="W32" s="1279"/>
      <c r="X32" s="1279"/>
      <c r="Y32" s="1279"/>
      <c r="Z32" s="1279"/>
      <c r="AA32" s="1279"/>
      <c r="AB32" s="9"/>
      <c r="AC32" s="1279" t="str">
        <f>IF(TITLE_DATE_CHANGE_PERIOD="",IF(TITLE_DATE_PR="","",TITLE_DATE_PR),TITLE_DATE_CHANGE_PERIOD)</f>
        <v/>
      </c>
      <c r="AD32" s="1279"/>
      <c r="AE32" s="1279"/>
      <c r="AF32" s="1279"/>
      <c r="AG32" s="1279"/>
      <c r="AH32" s="1279"/>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4"/>
      <c r="M33" s="79"/>
      <c r="N33" s="79"/>
      <c r="O33" s="79"/>
      <c r="S33" s="1278" t="s">
        <v>497</v>
      </c>
      <c r="T33" s="1278"/>
      <c r="U33" s="797"/>
      <c r="V33" s="1280" t="str">
        <f>IF(TITLE_NUMBER_PR_CHANGE="",IF(TITLE_NUMBER_PR="","",TITLE_NUMBER_PR),TITLE_NUMBER_PR_CHANGE)</f>
        <v/>
      </c>
      <c r="W33" s="1280"/>
      <c r="X33" s="1280"/>
      <c r="Y33" s="1280"/>
      <c r="Z33" s="1280"/>
      <c r="AA33" s="1280"/>
      <c r="AB33" s="9"/>
      <c r="AC33" s="1280" t="str">
        <f>IF(TITLE_NUMBER_PR_CHANGE="",IF(TITLE_NUMBER_PR="","",TITLE_NUMBER_PR),TITLE_NUMBER_PR_CHANGE)</f>
        <v/>
      </c>
      <c r="AD33" s="1280"/>
      <c r="AE33" s="1280"/>
      <c r="AF33" s="1280"/>
      <c r="AG33" s="1280"/>
      <c r="AH33" s="1280"/>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4"/>
      <c r="M34" s="79"/>
      <c r="N34" s="79"/>
      <c r="O34" s="79"/>
      <c r="S34" s="9"/>
      <c r="T34" s="9"/>
      <c r="U34" s="75"/>
      <c r="V34" s="9"/>
      <c r="W34" s="9"/>
      <c r="X34" s="9"/>
      <c r="Y34" s="9"/>
      <c r="Z34" s="9"/>
      <c r="AA34" s="9"/>
      <c r="AB34" s="65" t="s">
        <v>498</v>
      </c>
      <c r="AC34" s="9"/>
      <c r="AD34" s="9"/>
      <c r="AE34" s="9"/>
      <c r="AF34" s="9"/>
      <c r="AG34" s="9"/>
      <c r="AH34" s="9"/>
      <c r="AI34" s="65" t="s">
        <v>498</v>
      </c>
      <c r="AL34" s="66"/>
      <c r="AM34" s="66"/>
      <c r="AN34" s="66"/>
      <c r="AO34" s="66"/>
      <c r="AP34" s="66"/>
    </row>
    <row r="35" spans="1:42" ht="14.25" customHeight="1">
      <c r="Q35" s="27"/>
      <c r="R35" s="27"/>
      <c r="S35" s="764"/>
      <c r="T35" s="8"/>
      <c r="U35" s="736"/>
      <c r="V35" s="1298"/>
      <c r="W35" s="1298"/>
      <c r="X35" s="1298"/>
      <c r="Y35" s="1298"/>
      <c r="Z35" s="1298"/>
      <c r="AA35" s="1298"/>
      <c r="AB35" s="1298"/>
      <c r="AC35" s="1298"/>
      <c r="AD35" s="1298"/>
      <c r="AE35" s="1298"/>
      <c r="AF35" s="1298"/>
      <c r="AG35" s="1298"/>
      <c r="AH35" s="1298"/>
      <c r="AI35" s="1298"/>
    </row>
    <row r="36" spans="1:42" ht="14.25" customHeight="1">
      <c r="Q36" s="27"/>
      <c r="R36" s="27"/>
      <c r="S36" s="1082" t="s">
        <v>302</v>
      </c>
      <c r="T36" s="1082"/>
      <c r="U36" s="1082"/>
      <c r="V36" s="1082"/>
      <c r="W36" s="1082"/>
      <c r="X36" s="1082"/>
      <c r="Y36" s="1082"/>
      <c r="Z36" s="1082"/>
      <c r="AA36" s="1082"/>
      <c r="AB36" s="1082"/>
      <c r="AC36" s="1082"/>
      <c r="AD36" s="1082"/>
      <c r="AE36" s="1082"/>
      <c r="AF36" s="1082"/>
      <c r="AG36" s="1082"/>
      <c r="AH36" s="1082"/>
      <c r="AI36" s="1082"/>
      <c r="AJ36" s="1082"/>
      <c r="AK36" s="1082" t="s">
        <v>303</v>
      </c>
    </row>
    <row r="37" spans="1:42" ht="14.25" customHeight="1">
      <c r="Q37" s="27"/>
      <c r="R37" s="27"/>
      <c r="S37" s="1299" t="s">
        <v>88</v>
      </c>
      <c r="T37" s="1176" t="s">
        <v>499</v>
      </c>
      <c r="U37" s="171"/>
      <c r="V37" s="1300" t="s">
        <v>500</v>
      </c>
      <c r="W37" s="1301"/>
      <c r="X37" s="1301"/>
      <c r="Y37" s="1301"/>
      <c r="Z37" s="1301"/>
      <c r="AA37" s="1302"/>
      <c r="AB37" s="1303" t="s">
        <v>501</v>
      </c>
      <c r="AC37" s="1300" t="s">
        <v>500</v>
      </c>
      <c r="AD37" s="1301"/>
      <c r="AE37" s="1301"/>
      <c r="AF37" s="1301"/>
      <c r="AG37" s="1301"/>
      <c r="AH37" s="1302"/>
      <c r="AI37" s="1303" t="s">
        <v>502</v>
      </c>
      <c r="AJ37" s="1306" t="s">
        <v>503</v>
      </c>
      <c r="AK37" s="1082"/>
    </row>
    <row r="38" spans="1:42" ht="33.75" customHeight="1">
      <c r="Q38" s="27"/>
      <c r="R38" s="27"/>
      <c r="S38" s="1299"/>
      <c r="T38" s="1176"/>
      <c r="U38" s="621"/>
      <c r="V38" s="349" t="s">
        <v>1693</v>
      </c>
      <c r="W38" s="1063" t="s">
        <v>506</v>
      </c>
      <c r="X38" s="1062"/>
      <c r="Y38" s="1063" t="s">
        <v>507</v>
      </c>
      <c r="Z38" s="1068"/>
      <c r="AA38" s="1062"/>
      <c r="AB38" s="1304"/>
      <c r="AC38" s="349" t="s">
        <v>1693</v>
      </c>
      <c r="AD38" s="1063" t="s">
        <v>506</v>
      </c>
      <c r="AE38" s="1062"/>
      <c r="AF38" s="1063" t="s">
        <v>507</v>
      </c>
      <c r="AG38" s="1068"/>
      <c r="AH38" s="1062"/>
      <c r="AI38" s="1304"/>
      <c r="AJ38" s="1307"/>
      <c r="AK38" s="1082"/>
    </row>
    <row r="39" spans="1:42" ht="86.25" customHeight="1">
      <c r="A39" s="79"/>
      <c r="B39" s="79" t="s">
        <v>151</v>
      </c>
      <c r="C39" s="79" t="s">
        <v>152</v>
      </c>
      <c r="D39" s="79" t="s">
        <v>153</v>
      </c>
      <c r="E39" s="794" t="s">
        <v>508</v>
      </c>
      <c r="F39" s="794" t="s">
        <v>509</v>
      </c>
      <c r="G39" s="794" t="s">
        <v>510</v>
      </c>
      <c r="H39" s="794"/>
      <c r="I39" s="794" t="s">
        <v>1694</v>
      </c>
      <c r="J39" s="794" t="s">
        <v>513</v>
      </c>
      <c r="K39" s="794" t="s">
        <v>1695</v>
      </c>
      <c r="L39" s="794" t="s">
        <v>489</v>
      </c>
      <c r="Q39" s="27"/>
      <c r="R39" s="27"/>
      <c r="S39" s="1299"/>
      <c r="T39" s="1176"/>
      <c r="U39" s="172"/>
      <c r="V39" s="349" t="s">
        <v>2078</v>
      </c>
      <c r="W39" s="37" t="s">
        <v>2079</v>
      </c>
      <c r="X39" s="37" t="s">
        <v>1698</v>
      </c>
      <c r="Y39" s="37" t="s">
        <v>517</v>
      </c>
      <c r="Z39" s="1182" t="s">
        <v>518</v>
      </c>
      <c r="AA39" s="1195"/>
      <c r="AB39" s="1305"/>
      <c r="AC39" s="349" t="s">
        <v>2078</v>
      </c>
      <c r="AD39" s="37" t="s">
        <v>2079</v>
      </c>
      <c r="AE39" s="37" t="s">
        <v>1698</v>
      </c>
      <c r="AF39" s="37" t="s">
        <v>517</v>
      </c>
      <c r="AG39" s="1182" t="s">
        <v>518</v>
      </c>
      <c r="AH39" s="1195"/>
      <c r="AI39" s="1305"/>
      <c r="AJ39" s="1308"/>
      <c r="AK39" s="1082"/>
    </row>
    <row r="40" spans="1:42" s="209" customFormat="1" ht="0" hidden="1" customHeight="1">
      <c r="A40" s="79"/>
      <c r="B40" s="79"/>
      <c r="C40" s="79"/>
      <c r="D40" s="79"/>
      <c r="E40" s="79"/>
      <c r="F40" s="79"/>
      <c r="G40" s="79"/>
      <c r="H40" s="79"/>
      <c r="I40" s="79"/>
      <c r="J40" s="79"/>
      <c r="K40" s="79"/>
      <c r="L40" s="794"/>
      <c r="M40" s="519"/>
      <c r="N40" s="519"/>
      <c r="O40" s="519"/>
      <c r="P40" s="738"/>
      <c r="Q40" s="739"/>
      <c r="R40" s="747">
        <v>1</v>
      </c>
      <c r="S40" s="766" t="s">
        <v>119</v>
      </c>
      <c r="T40" s="748" t="s">
        <v>103</v>
      </c>
      <c r="U40" s="737" t="str">
        <f ca="1">OFFSET(U40,0,-1)</f>
        <v>2</v>
      </c>
      <c r="V40" s="749">
        <f ca="1">OFFSET(V40,0,-1)+1</f>
        <v>3</v>
      </c>
      <c r="W40" s="749">
        <f ca="1">OFFSET(W40,0,-1)+1</f>
        <v>4</v>
      </c>
      <c r="X40" s="749">
        <f ca="1">OFFSET(X40,0,-1)+1</f>
        <v>5</v>
      </c>
      <c r="Y40" s="749">
        <f ca="1">OFFSET(Y40,0,-1)+1</f>
        <v>6</v>
      </c>
      <c r="Z40" s="1297">
        <f ca="1">OFFSET(Z40,0,-1)+1</f>
        <v>7</v>
      </c>
      <c r="AA40" s="1297"/>
      <c r="AB40" s="749">
        <f ca="1">OFFSET(AB40,0,-2)+1</f>
        <v>8</v>
      </c>
      <c r="AC40" s="749">
        <f ca="1">OFFSET(AC40,0,-1)+1</f>
        <v>9</v>
      </c>
      <c r="AD40" s="749">
        <f ca="1">OFFSET(AD40,0,-1)+1</f>
        <v>10</v>
      </c>
      <c r="AE40" s="749">
        <f ca="1">OFFSET(AE40,0,-1)+1</f>
        <v>11</v>
      </c>
      <c r="AF40" s="749">
        <f ca="1">OFFSET(AF40,0,-1)+1</f>
        <v>12</v>
      </c>
      <c r="AG40" s="1297">
        <f ca="1">OFFSET(AG40,0,-1)+1</f>
        <v>13</v>
      </c>
      <c r="AH40" s="1297"/>
      <c r="AI40" s="749">
        <f ca="1">OFFSET(AI40,0,-2)+1</f>
        <v>14</v>
      </c>
      <c r="AJ40" s="737">
        <f ca="1">OFFSET(AJ40,0,-1)</f>
        <v>14</v>
      </c>
      <c r="AK40" s="749">
        <f ca="1">OFFSET(AK40,0,-1)+1</f>
        <v>15</v>
      </c>
      <c r="AL40" s="65"/>
      <c r="AM40" s="65"/>
      <c r="AN40" s="65"/>
      <c r="AO40" s="65"/>
      <c r="AP40" s="65"/>
    </row>
    <row r="41" spans="1:42" ht="23.25" customHeight="1">
      <c r="A41" s="793" t="s">
        <v>273</v>
      </c>
      <c r="B41" s="793"/>
      <c r="C41" s="793"/>
      <c r="D41" s="793"/>
      <c r="E41" s="1287">
        <v>1</v>
      </c>
      <c r="F41" s="793"/>
      <c r="G41" s="793"/>
      <c r="H41" s="793"/>
      <c r="I41" s="793"/>
      <c r="J41" s="793"/>
      <c r="K41" s="793"/>
      <c r="L41" s="794"/>
      <c r="M41" s="433"/>
      <c r="N41" s="433"/>
      <c r="O41" s="433"/>
      <c r="Q41" s="2"/>
      <c r="R41" s="213"/>
      <c r="S41" s="725">
        <f>INDEX(PT_DIFFERENTIATION_NUM_NTAR,MATCH(A41,PT_DIFFERENTIATION_NTAR_ID,0))</f>
        <v>0</v>
      </c>
      <c r="T41" s="64" t="s">
        <v>139</v>
      </c>
      <c r="U41" s="170"/>
      <c r="V41" s="1281"/>
      <c r="W41" s="1282"/>
      <c r="X41" s="1282"/>
      <c r="Y41" s="1282"/>
      <c r="Z41" s="1282"/>
      <c r="AA41" s="1282"/>
      <c r="AB41" s="1283"/>
      <c r="AC41" s="1281" t="str">
        <f>INDEX(PT_DIFFERENTIATION_NTAR,MATCH(A41,PT_DIFFERENTIATION_NTAR_ID,0))</f>
        <v/>
      </c>
      <c r="AD41" s="1282"/>
      <c r="AE41" s="1282"/>
      <c r="AF41" s="1282"/>
      <c r="AG41" s="1282"/>
      <c r="AH41" s="1282"/>
      <c r="AI41" s="1282"/>
      <c r="AJ41" s="1283"/>
      <c r="AK41" s="7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3" t="s">
        <v>273</v>
      </c>
      <c r="B42" s="793" t="s">
        <v>274</v>
      </c>
      <c r="C42" s="793"/>
      <c r="D42" s="793"/>
      <c r="E42" s="1288"/>
      <c r="F42" s="1287">
        <v>1</v>
      </c>
      <c r="G42" s="793"/>
      <c r="H42" s="793"/>
      <c r="I42" s="793"/>
      <c r="J42" s="793"/>
      <c r="K42" s="793"/>
      <c r="L42" s="794"/>
      <c r="M42" s="433"/>
      <c r="N42" s="433"/>
      <c r="O42" s="433"/>
      <c r="P42" s="56"/>
      <c r="Q42" s="210"/>
      <c r="R42" s="211"/>
      <c r="S42" s="725" t="str">
        <f>INDEX(PT_DIFFERENTIATION_NUM_TER,MATCH(B42,PT_DIFFERENTIATION_TER_ID,0))</f>
        <v>.</v>
      </c>
      <c r="T42" s="178" t="s">
        <v>471</v>
      </c>
      <c r="U42" s="170"/>
      <c r="V42" s="1281"/>
      <c r="W42" s="1282"/>
      <c r="X42" s="1282"/>
      <c r="Y42" s="1282"/>
      <c r="Z42" s="1282"/>
      <c r="AA42" s="1282"/>
      <c r="AB42" s="1283"/>
      <c r="AC42" s="1281" t="str">
        <f>INDEX(PT_DIFFERENTIATION_TER,MATCH(B42,PT_DIFFERENTIATION_TER_ID,0))</f>
        <v/>
      </c>
      <c r="AD42" s="1282"/>
      <c r="AE42" s="1282"/>
      <c r="AF42" s="1282"/>
      <c r="AG42" s="1282"/>
      <c r="AH42" s="1282"/>
      <c r="AI42" s="1282"/>
      <c r="AJ42" s="1283"/>
      <c r="AK42" s="753" t="s">
        <v>472</v>
      </c>
      <c r="AM42" s="66"/>
      <c r="AN42" s="66" t="str">
        <f t="shared" si="1"/>
        <v>Территория действия тарифа</v>
      </c>
      <c r="AO42" s="66"/>
      <c r="AP42" s="66"/>
    </row>
    <row r="43" spans="1:42" ht="23.25" customHeight="1">
      <c r="A43" s="793" t="s">
        <v>273</v>
      </c>
      <c r="B43" s="793" t="s">
        <v>274</v>
      </c>
      <c r="C43" s="793" t="s">
        <v>275</v>
      </c>
      <c r="D43" s="793"/>
      <c r="E43" s="1288"/>
      <c r="F43" s="1288"/>
      <c r="G43" s="1287">
        <v>1</v>
      </c>
      <c r="H43" s="793"/>
      <c r="I43" s="793"/>
      <c r="J43" s="793"/>
      <c r="K43" s="793"/>
      <c r="L43" s="794"/>
      <c r="M43" s="433"/>
      <c r="N43" s="433"/>
      <c r="O43" s="433"/>
      <c r="P43" s="212"/>
      <c r="Q43" s="210"/>
      <c r="R43" s="211"/>
      <c r="S43" s="725" t="str">
        <f>INDEX(PT_DIFFERENTIATION_NUM_CS,MATCH(C43,PT_DIFFERENTIATION_CS_ID,0))</f>
        <v>..</v>
      </c>
      <c r="T43" s="179" t="s">
        <v>2076</v>
      </c>
      <c r="U43" s="170"/>
      <c r="V43" s="1281"/>
      <c r="W43" s="1282"/>
      <c r="X43" s="1282"/>
      <c r="Y43" s="1282"/>
      <c r="Z43" s="1282"/>
      <c r="AA43" s="1282"/>
      <c r="AB43" s="1283"/>
      <c r="AC43" s="1281" t="str">
        <f>INDEX(PT_DIFFERENTIATION_CS,MATCH(C43,PT_DIFFERENTIATION_CS_ID,0))</f>
        <v/>
      </c>
      <c r="AD43" s="1282"/>
      <c r="AE43" s="1282"/>
      <c r="AF43" s="1282"/>
      <c r="AG43" s="1282"/>
      <c r="AH43" s="1282"/>
      <c r="AI43" s="1282"/>
      <c r="AJ43" s="1283"/>
      <c r="AK43" s="753" t="s">
        <v>2077</v>
      </c>
      <c r="AM43" s="66"/>
      <c r="AN43" s="66" t="str">
        <f t="shared" si="1"/>
        <v>Наименование централизованной системы водоотведения</v>
      </c>
      <c r="AO43" s="66"/>
      <c r="AP43" s="66"/>
    </row>
    <row r="44" spans="1:42" ht="23.25" customHeight="1">
      <c r="A44" s="793" t="s">
        <v>273</v>
      </c>
      <c r="B44" s="793" t="s">
        <v>274</v>
      </c>
      <c r="C44" s="793" t="s">
        <v>275</v>
      </c>
      <c r="D44" s="793" t="s">
        <v>2083</v>
      </c>
      <c r="E44" s="1288"/>
      <c r="F44" s="1288"/>
      <c r="G44" s="1288"/>
      <c r="H44" s="1288"/>
      <c r="I44" s="1289" t="str">
        <f>S43&amp;".1"</f>
        <v>...1</v>
      </c>
      <c r="J44" s="793"/>
      <c r="K44" s="793"/>
      <c r="L44" s="794"/>
      <c r="P44" s="1211">
        <v>1</v>
      </c>
      <c r="Q44" s="119"/>
      <c r="R44" s="214"/>
      <c r="S44" s="725" t="str">
        <f>$I44</f>
        <v>...1</v>
      </c>
      <c r="T44" s="163" t="s">
        <v>1687</v>
      </c>
      <c r="U44" s="170"/>
      <c r="V44" s="1387"/>
      <c r="W44" s="1388"/>
      <c r="X44" s="1388"/>
      <c r="Y44" s="1388"/>
      <c r="Z44" s="1388"/>
      <c r="AA44" s="1388"/>
      <c r="AB44" s="1389"/>
      <c r="AC44" s="1390"/>
      <c r="AD44" s="1391"/>
      <c r="AE44" s="1391"/>
      <c r="AF44" s="1391"/>
      <c r="AG44" s="1391"/>
      <c r="AH44" s="1391"/>
      <c r="AI44" s="1391"/>
      <c r="AJ44" s="1392"/>
      <c r="AK44" s="753" t="s">
        <v>1688</v>
      </c>
      <c r="AM44" s="66"/>
      <c r="AN44" s="66" t="str">
        <f t="shared" si="1"/>
        <v>Наименование признака дифференциации</v>
      </c>
      <c r="AO44" s="66"/>
      <c r="AP44" s="66"/>
    </row>
    <row r="45" spans="1:42" ht="23.25" customHeight="1">
      <c r="A45" s="793" t="s">
        <v>273</v>
      </c>
      <c r="B45" s="793" t="s">
        <v>274</v>
      </c>
      <c r="C45" s="793" t="s">
        <v>275</v>
      </c>
      <c r="D45" s="793" t="s">
        <v>2083</v>
      </c>
      <c r="E45" s="1288"/>
      <c r="F45" s="1288"/>
      <c r="G45" s="1288"/>
      <c r="H45" s="1288"/>
      <c r="I45" s="1290"/>
      <c r="J45" s="1289" t="str">
        <f>I44&amp;".1"</f>
        <v>...1.1</v>
      </c>
      <c r="K45" s="793"/>
      <c r="L45" s="794" t="s">
        <v>480</v>
      </c>
      <c r="P45" s="1211"/>
      <c r="Q45" s="1211">
        <v>1</v>
      </c>
      <c r="R45" s="215"/>
      <c r="S45" s="725" t="str">
        <f>$J45</f>
        <v>...1.1</v>
      </c>
      <c r="T45" s="164" t="s">
        <v>481</v>
      </c>
      <c r="U45" s="170"/>
      <c r="V45" s="1275"/>
      <c r="W45" s="1276"/>
      <c r="X45" s="1276"/>
      <c r="Y45" s="1276"/>
      <c r="Z45" s="1276"/>
      <c r="AA45" s="1276"/>
      <c r="AB45" s="1277"/>
      <c r="AC45" s="1275"/>
      <c r="AD45" s="1276"/>
      <c r="AE45" s="1276"/>
      <c r="AF45" s="1276"/>
      <c r="AG45" s="1276"/>
      <c r="AH45" s="1276"/>
      <c r="AI45" s="1276"/>
      <c r="AJ45" s="1277"/>
      <c r="AK45" s="778" t="s">
        <v>1689</v>
      </c>
      <c r="AM45" s="66"/>
      <c r="AN45" s="66" t="str">
        <f t="shared" si="1"/>
        <v>Группа потребителей</v>
      </c>
      <c r="AO45" s="66"/>
      <c r="AP45" s="66"/>
    </row>
    <row r="46" spans="1:42" ht="23.25" customHeight="1">
      <c r="A46" s="793" t="s">
        <v>273</v>
      </c>
      <c r="B46" s="793" t="s">
        <v>274</v>
      </c>
      <c r="C46" s="793" t="s">
        <v>275</v>
      </c>
      <c r="D46" s="793" t="s">
        <v>2083</v>
      </c>
      <c r="E46" s="1288"/>
      <c r="F46" s="1288"/>
      <c r="G46" s="1288"/>
      <c r="H46" s="1288"/>
      <c r="I46" s="1290"/>
      <c r="J46" s="1290"/>
      <c r="K46" s="1289" t="str">
        <f>J45&amp;".1"</f>
        <v>...1.1.1</v>
      </c>
      <c r="L46" s="794"/>
      <c r="P46" s="1211"/>
      <c r="Q46" s="1211"/>
      <c r="R46" s="215">
        <v>1</v>
      </c>
      <c r="S46" s="725" t="str">
        <f>$K46</f>
        <v>...1.1.1</v>
      </c>
      <c r="T46" s="836"/>
      <c r="U46" s="170"/>
      <c r="V46" s="376"/>
      <c r="W46" s="376"/>
      <c r="X46" s="792"/>
      <c r="Y46" s="1285"/>
      <c r="Z46" s="1284" t="s">
        <v>59</v>
      </c>
      <c r="AA46" s="1285"/>
      <c r="AB46" s="1284" t="s">
        <v>59</v>
      </c>
      <c r="AC46" s="317"/>
      <c r="AD46" s="317"/>
      <c r="AE46" s="752"/>
      <c r="AF46" s="1291"/>
      <c r="AG46" s="1092" t="s">
        <v>59</v>
      </c>
      <c r="AH46" s="1293"/>
      <c r="AI46" s="1092" t="s">
        <v>57</v>
      </c>
      <c r="AJ46" s="837"/>
      <c r="AK46"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3" t="s">
        <v>273</v>
      </c>
      <c r="B47" s="793" t="s">
        <v>274</v>
      </c>
      <c r="C47" s="793" t="s">
        <v>275</v>
      </c>
      <c r="D47" s="793" t="s">
        <v>2083</v>
      </c>
      <c r="E47" s="1288"/>
      <c r="F47" s="1288"/>
      <c r="G47" s="1288"/>
      <c r="H47" s="1288"/>
      <c r="I47" s="1290"/>
      <c r="J47" s="1290"/>
      <c r="K47" s="1289"/>
      <c r="L47" s="794"/>
      <c r="P47" s="1211"/>
      <c r="Q47" s="1211"/>
      <c r="R47" s="215"/>
      <c r="S47" s="62"/>
      <c r="T47" s="170"/>
      <c r="U47" s="170"/>
      <c r="V47" s="376"/>
      <c r="W47" s="376"/>
      <c r="X47" s="198" t="str">
        <f>Y46&amp;"-"&amp;AA46</f>
        <v>-</v>
      </c>
      <c r="Y47" s="1284"/>
      <c r="Z47" s="1284"/>
      <c r="AA47" s="1284"/>
      <c r="AB47" s="1284"/>
      <c r="AC47" s="196"/>
      <c r="AD47" s="196"/>
      <c r="AE47" s="198" t="str">
        <f>AF46&amp;"-"&amp;AH46</f>
        <v>-</v>
      </c>
      <c r="AF47" s="1292"/>
      <c r="AG47" s="1092"/>
      <c r="AH47" s="1294"/>
      <c r="AI47" s="1092"/>
      <c r="AJ47" s="396"/>
      <c r="AK47" s="1393"/>
      <c r="AM47" s="66"/>
      <c r="AN47" s="66" t="str">
        <f t="shared" si="1"/>
        <v/>
      </c>
      <c r="AO47" s="66"/>
      <c r="AP47" s="66"/>
    </row>
    <row r="48" spans="1:42" ht="21" customHeight="1">
      <c r="A48" s="793" t="s">
        <v>273</v>
      </c>
      <c r="B48" s="793" t="s">
        <v>274</v>
      </c>
      <c r="C48" s="793" t="s">
        <v>275</v>
      </c>
      <c r="D48" s="793" t="s">
        <v>2083</v>
      </c>
      <c r="E48" s="1288"/>
      <c r="F48" s="1288"/>
      <c r="G48" s="1288"/>
      <c r="H48" s="1288"/>
      <c r="I48" s="1290"/>
      <c r="J48" s="1289"/>
      <c r="K48" s="793"/>
      <c r="L48" s="794"/>
      <c r="P48" s="1211"/>
      <c r="Q48" s="1211"/>
      <c r="R48" s="214"/>
      <c r="S48" s="767"/>
      <c r="T48" s="165" t="s">
        <v>1690</v>
      </c>
      <c r="U48" s="221"/>
      <c r="V48" s="221"/>
      <c r="W48" s="221"/>
      <c r="X48" s="221"/>
      <c r="Y48" s="221"/>
      <c r="Z48" s="221"/>
      <c r="AA48" s="221"/>
      <c r="AB48" s="221"/>
      <c r="AC48" s="221"/>
      <c r="AD48" s="221"/>
      <c r="AE48" s="221"/>
      <c r="AF48" s="221"/>
      <c r="AG48" s="221"/>
      <c r="AH48" s="221"/>
      <c r="AI48" s="221"/>
      <c r="AJ48" s="221"/>
      <c r="AK48" s="753" t="s">
        <v>1691</v>
      </c>
      <c r="AM48" s="66"/>
      <c r="AN48" s="66" t="str">
        <f t="shared" si="1"/>
        <v>Добавить значение признака дифференциации</v>
      </c>
      <c r="AO48" s="66"/>
      <c r="AP48" s="66"/>
    </row>
    <row r="49" spans="1:42" ht="21" customHeight="1">
      <c r="A49" s="793" t="s">
        <v>273</v>
      </c>
      <c r="B49" s="793" t="s">
        <v>274</v>
      </c>
      <c r="C49" s="793" t="s">
        <v>275</v>
      </c>
      <c r="D49" s="793" t="s">
        <v>2083</v>
      </c>
      <c r="E49" s="1288"/>
      <c r="F49" s="1288"/>
      <c r="G49" s="1288"/>
      <c r="H49" s="1288"/>
      <c r="I49" s="1289"/>
      <c r="J49" s="793"/>
      <c r="K49" s="793"/>
      <c r="L49" s="794"/>
      <c r="P49" s="1211"/>
      <c r="Q49" s="119"/>
      <c r="R49" s="214"/>
      <c r="S49" s="767"/>
      <c r="T49" s="219" t="s">
        <v>486</v>
      </c>
      <c r="U49" s="221"/>
      <c r="V49" s="221"/>
      <c r="W49" s="221"/>
      <c r="X49" s="221"/>
      <c r="Y49" s="221"/>
      <c r="Z49" s="221"/>
      <c r="AA49" s="221"/>
      <c r="AB49" s="197"/>
      <c r="AC49" s="221"/>
      <c r="AD49" s="221"/>
      <c r="AE49" s="221"/>
      <c r="AF49" s="221"/>
      <c r="AG49" s="221"/>
      <c r="AH49" s="221"/>
      <c r="AI49" s="197"/>
      <c r="AJ49" s="221"/>
      <c r="AK49" s="838"/>
      <c r="AM49" s="66"/>
      <c r="AN49" s="66" t="str">
        <f t="shared" si="1"/>
        <v>Добавить группу потребителей</v>
      </c>
      <c r="AO49" s="66"/>
      <c r="AP49" s="66"/>
    </row>
    <row r="50" spans="1:42" ht="21" customHeight="1">
      <c r="A50" s="793" t="s">
        <v>273</v>
      </c>
      <c r="B50" s="793" t="s">
        <v>274</v>
      </c>
      <c r="C50" s="793" t="s">
        <v>275</v>
      </c>
      <c r="D50" s="793" t="s">
        <v>2083</v>
      </c>
      <c r="E50" s="1288"/>
      <c r="F50" s="1288"/>
      <c r="G50" s="1288"/>
      <c r="H50" s="1287"/>
      <c r="I50" s="793"/>
      <c r="J50" s="793"/>
      <c r="K50" s="793"/>
      <c r="L50" s="794"/>
      <c r="M50" s="433"/>
      <c r="N50" s="433"/>
      <c r="O50" s="60"/>
      <c r="P50" s="2"/>
      <c r="Q50" s="224"/>
      <c r="R50" s="213"/>
      <c r="S50" s="767"/>
      <c r="T50" s="104" t="s">
        <v>1692</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273</v>
      </c>
      <c r="B51" s="142" t="s">
        <v>274</v>
      </c>
      <c r="C51" s="142"/>
      <c r="D51" s="142"/>
      <c r="E51" s="1288"/>
      <c r="F51" s="1287"/>
      <c r="G51" s="142"/>
      <c r="H51" s="142"/>
      <c r="I51" s="142"/>
      <c r="J51" s="142"/>
      <c r="K51" s="142"/>
      <c r="L51" s="355"/>
      <c r="M51" s="784"/>
      <c r="N51" s="784"/>
      <c r="P51" s="101"/>
      <c r="Q51" s="780"/>
      <c r="R51" s="101"/>
      <c r="S51" s="785"/>
      <c r="T51" s="787" t="s">
        <v>445</v>
      </c>
      <c r="U51" s="323"/>
      <c r="V51" s="323"/>
      <c r="W51" s="323"/>
      <c r="X51" s="323"/>
      <c r="Y51" s="323"/>
      <c r="Z51" s="323"/>
      <c r="AA51" s="323"/>
      <c r="AB51" s="323"/>
      <c r="AC51" s="323"/>
      <c r="AD51" s="323"/>
      <c r="AE51" s="323"/>
      <c r="AF51" s="323"/>
      <c r="AG51" s="323"/>
      <c r="AH51" s="323"/>
      <c r="AI51" s="323"/>
      <c r="AJ51" s="323"/>
      <c r="AK51" s="323"/>
      <c r="AM51" s="66"/>
      <c r="AN51" s="66" t="str">
        <f t="shared" si="1"/>
        <v>Добавить централизованную систему для дифференциации</v>
      </c>
      <c r="AO51" s="66"/>
      <c r="AP51" s="66"/>
    </row>
    <row r="52" spans="1:42" s="65" customFormat="1" ht="0" hidden="1" customHeight="1">
      <c r="A52" s="142" t="s">
        <v>273</v>
      </c>
      <c r="B52" s="142"/>
      <c r="C52" s="142"/>
      <c r="D52" s="142"/>
      <c r="E52" s="1287"/>
      <c r="F52" s="142"/>
      <c r="G52" s="142"/>
      <c r="H52" s="142"/>
      <c r="I52" s="142"/>
      <c r="J52" s="142"/>
      <c r="K52" s="142"/>
      <c r="L52" s="355"/>
      <c r="M52" s="784"/>
      <c r="N52" s="784"/>
      <c r="P52" s="101"/>
      <c r="Q52" s="780"/>
      <c r="R52" s="101"/>
      <c r="S52" s="785"/>
      <c r="T52" s="787" t="s">
        <v>446</v>
      </c>
      <c r="U52" s="323"/>
      <c r="V52" s="323"/>
      <c r="W52" s="323"/>
      <c r="X52" s="323"/>
      <c r="Y52" s="323"/>
      <c r="Z52" s="323"/>
      <c r="AA52" s="323"/>
      <c r="AB52" s="323"/>
      <c r="AC52" s="323"/>
      <c r="AD52" s="323"/>
      <c r="AE52" s="323"/>
      <c r="AF52" s="323"/>
      <c r="AG52" s="323"/>
      <c r="AH52" s="323"/>
      <c r="AI52" s="323"/>
      <c r="AJ52" s="323"/>
      <c r="AK52" s="323"/>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4"/>
      <c r="N53" s="784"/>
      <c r="P53" s="101"/>
      <c r="Q53" s="780"/>
      <c r="R53" s="101"/>
      <c r="S53" s="785"/>
      <c r="T53" s="787" t="s">
        <v>447</v>
      </c>
      <c r="U53" s="323"/>
      <c r="V53" s="323"/>
      <c r="W53" s="323"/>
      <c r="X53" s="323"/>
      <c r="Y53" s="323"/>
      <c r="Z53" s="323"/>
      <c r="AA53" s="323"/>
      <c r="AB53" s="323"/>
      <c r="AC53" s="323"/>
      <c r="AD53" s="323"/>
      <c r="AE53" s="323"/>
      <c r="AF53" s="323"/>
      <c r="AG53" s="323"/>
      <c r="AH53" s="323"/>
      <c r="AI53" s="323"/>
      <c r="AJ53" s="323"/>
      <c r="AK53" s="323"/>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519</v>
      </c>
      <c r="T55" s="1286" t="s">
        <v>2081</v>
      </c>
      <c r="U55" s="1286"/>
      <c r="V55" s="1286"/>
      <c r="W55" s="1286"/>
      <c r="X55" s="1286"/>
      <c r="Y55" s="1286"/>
      <c r="Z55" s="1286"/>
      <c r="AA55" s="1286"/>
      <c r="AB55" s="1286"/>
      <c r="AC55" s="1286"/>
      <c r="AD55" s="1286"/>
      <c r="AE55" s="1286"/>
      <c r="AF55" s="1286"/>
      <c r="AG55" s="1286"/>
      <c r="AH55" s="1286"/>
      <c r="AI55" s="1286"/>
      <c r="AJ55" s="1286"/>
      <c r="AK55" s="1286"/>
    </row>
    <row r="56" spans="1:42" ht="14.25" hidden="1" customHeight="1">
      <c r="O56" s="60"/>
    </row>
    <row r="57" spans="1:42" ht="14.25" hidden="1" customHeight="1">
      <c r="O57" s="60"/>
      <c r="S57" s="204" t="s">
        <v>519</v>
      </c>
      <c r="T57" s="1286" t="s">
        <v>2082</v>
      </c>
      <c r="U57" s="1286"/>
      <c r="V57" s="1286"/>
      <c r="W57" s="1286"/>
      <c r="X57" s="1286"/>
      <c r="Y57" s="1286"/>
      <c r="Z57" s="1286"/>
      <c r="AA57" s="1286"/>
      <c r="AB57" s="1286"/>
      <c r="AC57" s="1286"/>
      <c r="AD57" s="1286"/>
      <c r="AE57" s="1286"/>
      <c r="AF57" s="1286"/>
      <c r="AG57" s="1286"/>
      <c r="AH57" s="1286"/>
      <c r="AI57" s="1286"/>
      <c r="AJ57" s="1286"/>
      <c r="AK57" s="128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0A41C-B641-8A96-F78C-77E6A4808BA6}">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19" hidden="1" customWidth="1"/>
    <col min="15" max="15" width="23.42578125" style="519" hidden="1" customWidth="1"/>
    <col min="16" max="16" width="3.7109375" style="519" hidden="1" customWidth="1"/>
    <col min="17" max="17" width="3.7109375" style="796"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3"/>
      <c r="B2" s="793"/>
      <c r="C2" s="793"/>
      <c r="D2" s="793"/>
      <c r="E2" s="1287">
        <v>1</v>
      </c>
      <c r="F2" s="793"/>
      <c r="G2" s="793"/>
      <c r="H2" s="793"/>
      <c r="I2" s="793"/>
      <c r="J2" s="793"/>
      <c r="K2" s="793"/>
      <c r="L2" s="794"/>
      <c r="M2" s="433"/>
      <c r="N2" s="433"/>
      <c r="O2" s="433"/>
      <c r="Q2" s="59"/>
      <c r="R2" s="213"/>
      <c r="S2" s="725" t="e">
        <f>INDEX(PT_DIFFERENTIATION_NUM_NTAR,MATCH(A2,PT_DIFFERENTIATION_NTAR_ID,0))</f>
        <v>#N/A</v>
      </c>
      <c r="T2" s="64" t="s">
        <v>139</v>
      </c>
      <c r="U2" s="170"/>
      <c r="V2" s="1282"/>
      <c r="W2" s="1282"/>
      <c r="X2" s="1282"/>
      <c r="Y2" s="1282"/>
      <c r="Z2" s="1282"/>
      <c r="AA2" s="1282"/>
      <c r="AB2" s="1282"/>
      <c r="AC2" s="1283"/>
      <c r="AD2" s="1281" t="e">
        <f>INDEX(PT_DIFFERENTIATION_NTAR,MATCH(A2,PT_DIFFERENTIATION_NTAR_ID,0))</f>
        <v>#N/A</v>
      </c>
      <c r="AE2" s="1282"/>
      <c r="AF2" s="1282"/>
      <c r="AG2" s="1282"/>
      <c r="AH2" s="1282"/>
      <c r="AI2" s="1282"/>
      <c r="AJ2" s="1282"/>
      <c r="AK2" s="1282"/>
      <c r="AL2" s="1282"/>
      <c r="AM2" s="1282"/>
      <c r="AN2" s="1282"/>
      <c r="AO2" s="1282"/>
      <c r="AP2" s="1282"/>
      <c r="AQ2" s="1282"/>
      <c r="AR2" s="1282"/>
      <c r="AS2" s="1282"/>
      <c r="AT2" s="1282"/>
      <c r="AU2" s="1282"/>
      <c r="AV2" s="1282"/>
      <c r="AW2" s="1282"/>
      <c r="AX2" s="1282"/>
      <c r="AY2" s="1282"/>
      <c r="AZ2" s="1282"/>
      <c r="BA2" s="1282"/>
      <c r="BB2" s="1283"/>
      <c r="BC2" s="7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3"/>
      <c r="B3" s="793"/>
      <c r="C3" s="793"/>
      <c r="D3" s="793"/>
      <c r="E3" s="1288"/>
      <c r="F3" s="1287">
        <v>1</v>
      </c>
      <c r="G3" s="793"/>
      <c r="H3" s="793"/>
      <c r="I3" s="793"/>
      <c r="J3" s="793"/>
      <c r="K3" s="793"/>
      <c r="L3" s="794"/>
      <c r="M3" s="433"/>
      <c r="N3" s="433"/>
      <c r="O3" s="433"/>
      <c r="P3" s="312"/>
      <c r="Q3" s="826"/>
      <c r="R3" s="211"/>
      <c r="S3" s="725" t="e">
        <f>INDEX(PT_DIFFERENTIATION_NUM_TER,MATCH(B3,PT_DIFFERENTIATION_TER_ID,0))</f>
        <v>#N/A</v>
      </c>
      <c r="T3" s="178" t="s">
        <v>471</v>
      </c>
      <c r="U3" s="170"/>
      <c r="V3" s="1282"/>
      <c r="W3" s="1282"/>
      <c r="X3" s="1282"/>
      <c r="Y3" s="1282"/>
      <c r="Z3" s="1282"/>
      <c r="AA3" s="1282"/>
      <c r="AB3" s="1282"/>
      <c r="AC3" s="1283"/>
      <c r="AD3" s="1281" t="e">
        <f>INDEX(PT_DIFFERENTIATION_TER,MATCH(B3,PT_DIFFERENTIATION_TER_ID,0))</f>
        <v>#N/A</v>
      </c>
      <c r="AE3" s="1282"/>
      <c r="AF3" s="1282"/>
      <c r="AG3" s="1282"/>
      <c r="AH3" s="1282"/>
      <c r="AI3" s="1282"/>
      <c r="AJ3" s="1282"/>
      <c r="AK3" s="1282"/>
      <c r="AL3" s="1282"/>
      <c r="AM3" s="1282"/>
      <c r="AN3" s="1282"/>
      <c r="AO3" s="1282"/>
      <c r="AP3" s="1282"/>
      <c r="AQ3" s="1282"/>
      <c r="AR3" s="1282"/>
      <c r="AS3" s="1282"/>
      <c r="AT3" s="1282"/>
      <c r="AU3" s="1282"/>
      <c r="AV3" s="1282"/>
      <c r="AW3" s="1282"/>
      <c r="AX3" s="1282"/>
      <c r="AY3" s="1282"/>
      <c r="AZ3" s="1282"/>
      <c r="BA3" s="1282"/>
      <c r="BB3" s="1283"/>
      <c r="BC3" s="753" t="s">
        <v>472</v>
      </c>
      <c r="BE3" s="66"/>
      <c r="BF3" s="66" t="str">
        <f t="shared" si="0"/>
        <v>Территория действия тарифа</v>
      </c>
      <c r="BG3" s="66"/>
      <c r="BH3" s="66"/>
    </row>
    <row r="4" spans="1:60" ht="33.75" hidden="1" customHeight="1">
      <c r="A4" s="793"/>
      <c r="B4" s="793"/>
      <c r="C4" s="793"/>
      <c r="D4" s="793"/>
      <c r="E4" s="1288"/>
      <c r="F4" s="1288"/>
      <c r="G4" s="1287">
        <v>1</v>
      </c>
      <c r="H4" s="793"/>
      <c r="I4" s="793"/>
      <c r="J4" s="793"/>
      <c r="K4" s="793"/>
      <c r="L4" s="794"/>
      <c r="M4" s="433"/>
      <c r="N4" s="433"/>
      <c r="O4" s="433"/>
      <c r="P4" s="128"/>
      <c r="Q4" s="826"/>
      <c r="R4" s="211"/>
      <c r="S4" s="725" t="e">
        <f>INDEX(PT_DIFFERENTIATION_NUM_CS,MATCH(C4,PT_DIFFERENTIATION_CS_ID,0))</f>
        <v>#N/A</v>
      </c>
      <c r="T4" s="179" t="s">
        <v>2076</v>
      </c>
      <c r="U4" s="170"/>
      <c r="V4" s="1282"/>
      <c r="W4" s="1282"/>
      <c r="X4" s="1282"/>
      <c r="Y4" s="1282"/>
      <c r="Z4" s="1282"/>
      <c r="AA4" s="1282"/>
      <c r="AB4" s="1282"/>
      <c r="AC4" s="1283"/>
      <c r="AD4" s="1281" t="e">
        <f>INDEX(PT_DIFFERENTIATION_CS,MATCH(C4,PT_DIFFERENTIATION_CS_ID,0))</f>
        <v>#N/A</v>
      </c>
      <c r="AE4" s="1282"/>
      <c r="AF4" s="1282"/>
      <c r="AG4" s="1282"/>
      <c r="AH4" s="1282"/>
      <c r="AI4" s="1282"/>
      <c r="AJ4" s="1282"/>
      <c r="AK4" s="1282"/>
      <c r="AL4" s="1282"/>
      <c r="AM4" s="1282"/>
      <c r="AN4" s="1282"/>
      <c r="AO4" s="1282"/>
      <c r="AP4" s="1282"/>
      <c r="AQ4" s="1282"/>
      <c r="AR4" s="1282"/>
      <c r="AS4" s="1282"/>
      <c r="AT4" s="1282"/>
      <c r="AU4" s="1282"/>
      <c r="AV4" s="1282"/>
      <c r="AW4" s="1282"/>
      <c r="AX4" s="1282"/>
      <c r="AY4" s="1282"/>
      <c r="AZ4" s="1282"/>
      <c r="BA4" s="1282"/>
      <c r="BB4" s="1283"/>
      <c r="BC4" s="753" t="s">
        <v>2077</v>
      </c>
      <c r="BE4" s="66"/>
      <c r="BF4" s="66" t="str">
        <f t="shared" si="0"/>
        <v>Наименование централизованной системы водоотведения</v>
      </c>
      <c r="BG4" s="66"/>
      <c r="BH4" s="66"/>
    </row>
    <row r="5" spans="1:60" s="65" customFormat="1" ht="14.25" hidden="1" customHeight="1">
      <c r="A5" s="142"/>
      <c r="B5" s="142"/>
      <c r="C5" s="142"/>
      <c r="D5" s="142"/>
      <c r="E5" s="1288"/>
      <c r="F5" s="1288"/>
      <c r="G5" s="1288"/>
      <c r="H5" s="1287">
        <v>1</v>
      </c>
      <c r="I5" s="142"/>
      <c r="J5" s="142"/>
      <c r="K5" s="142"/>
      <c r="L5" s="355"/>
      <c r="M5" s="304"/>
      <c r="N5" s="304"/>
      <c r="O5" s="304"/>
      <c r="P5" s="844"/>
      <c r="Q5" s="845"/>
      <c r="R5" s="215"/>
      <c r="S5" s="371"/>
      <c r="T5" s="846"/>
      <c r="U5" s="804"/>
      <c r="V5" s="1317"/>
      <c r="W5" s="1317"/>
      <c r="X5" s="1317"/>
      <c r="Y5" s="1317"/>
      <c r="Z5" s="1317"/>
      <c r="AA5" s="1317"/>
      <c r="AB5" s="1317"/>
      <c r="AC5" s="1318"/>
      <c r="AD5" s="1316"/>
      <c r="AE5" s="1317"/>
      <c r="AF5" s="1317"/>
      <c r="AG5" s="1317"/>
      <c r="AH5" s="1317"/>
      <c r="AI5" s="1317"/>
      <c r="AJ5" s="1317"/>
      <c r="AK5" s="1317"/>
      <c r="AL5" s="1317"/>
      <c r="AM5" s="1317"/>
      <c r="AN5" s="1317"/>
      <c r="AO5" s="1317"/>
      <c r="AP5" s="1317"/>
      <c r="AQ5" s="1317"/>
      <c r="AR5" s="1317"/>
      <c r="AS5" s="1317"/>
      <c r="AT5" s="1317"/>
      <c r="AU5" s="1317"/>
      <c r="AV5" s="1317"/>
      <c r="AW5" s="1317"/>
      <c r="AX5" s="1317"/>
      <c r="AY5" s="1317"/>
      <c r="AZ5" s="1317"/>
      <c r="BA5" s="1317"/>
      <c r="BB5" s="1318"/>
      <c r="BC5" s="805" t="s">
        <v>476</v>
      </c>
      <c r="BE5" s="66"/>
      <c r="BF5" s="66" t="str">
        <f t="shared" si="0"/>
        <v/>
      </c>
      <c r="BG5" s="66"/>
      <c r="BH5" s="66"/>
    </row>
    <row r="6" spans="1:60" s="65" customFormat="1" ht="14.25" hidden="1" customHeight="1">
      <c r="A6" s="142"/>
      <c r="B6" s="142"/>
      <c r="C6" s="142"/>
      <c r="D6" s="142"/>
      <c r="E6" s="1288"/>
      <c r="F6" s="1288"/>
      <c r="G6" s="1288"/>
      <c r="H6" s="1288"/>
      <c r="I6" s="1289" t="str">
        <f>S5&amp;".1"</f>
        <v>.1</v>
      </c>
      <c r="J6" s="142"/>
      <c r="K6" s="142"/>
      <c r="L6" s="355" t="s">
        <v>477</v>
      </c>
      <c r="M6" s="228"/>
      <c r="N6" s="228"/>
      <c r="O6" s="228"/>
      <c r="P6" s="1211">
        <v>1</v>
      </c>
      <c r="Q6" s="119"/>
      <c r="R6" s="214"/>
      <c r="S6" s="371"/>
      <c r="T6" s="803"/>
      <c r="U6" s="804"/>
      <c r="V6" s="1317"/>
      <c r="W6" s="1317"/>
      <c r="X6" s="1317"/>
      <c r="Y6" s="1317"/>
      <c r="Z6" s="1317"/>
      <c r="AA6" s="1317"/>
      <c r="AB6" s="1317"/>
      <c r="AC6" s="1318"/>
      <c r="AD6" s="1316"/>
      <c r="AE6" s="1317"/>
      <c r="AF6" s="1317"/>
      <c r="AG6" s="1317"/>
      <c r="AH6" s="1317"/>
      <c r="AI6" s="1317"/>
      <c r="AJ6" s="1317"/>
      <c r="AK6" s="1317"/>
      <c r="AL6" s="1317"/>
      <c r="AM6" s="1317"/>
      <c r="AN6" s="1317"/>
      <c r="AO6" s="1317"/>
      <c r="AP6" s="1317"/>
      <c r="AQ6" s="1317"/>
      <c r="AR6" s="1317"/>
      <c r="AS6" s="1317"/>
      <c r="AT6" s="1317"/>
      <c r="AU6" s="1317"/>
      <c r="AV6" s="1317"/>
      <c r="AW6" s="1317"/>
      <c r="AX6" s="1317"/>
      <c r="AY6" s="1317"/>
      <c r="AZ6" s="1317"/>
      <c r="BA6" s="1317"/>
      <c r="BB6" s="1318"/>
      <c r="BC6" s="805"/>
      <c r="BE6" s="66"/>
      <c r="BF6" s="66" t="str">
        <f t="shared" si="0"/>
        <v/>
      </c>
      <c r="BG6" s="66"/>
      <c r="BH6" s="66"/>
    </row>
    <row r="7" spans="1:60" s="65" customFormat="1" ht="14.25" hidden="1" customHeight="1">
      <c r="A7" s="142"/>
      <c r="B7" s="142"/>
      <c r="C7" s="142"/>
      <c r="D7" s="142"/>
      <c r="E7" s="1288"/>
      <c r="F7" s="1288"/>
      <c r="G7" s="1288"/>
      <c r="H7" s="1288"/>
      <c r="I7" s="1290"/>
      <c r="J7" s="1289" t="str">
        <f>S5&amp;".1"</f>
        <v>.1</v>
      </c>
      <c r="K7" s="142"/>
      <c r="L7" s="355"/>
      <c r="M7" s="228"/>
      <c r="N7" s="228"/>
      <c r="O7" s="228"/>
      <c r="P7" s="1211"/>
      <c r="Q7" s="1211">
        <v>1</v>
      </c>
      <c r="R7" s="215"/>
      <c r="S7" s="371"/>
      <c r="T7" s="818"/>
      <c r="U7" s="804"/>
      <c r="V7" s="1317"/>
      <c r="W7" s="1317"/>
      <c r="X7" s="1317"/>
      <c r="Y7" s="1317"/>
      <c r="Z7" s="1317"/>
      <c r="AA7" s="1317"/>
      <c r="AB7" s="1317"/>
      <c r="AC7" s="1318"/>
      <c r="AD7" s="1316"/>
      <c r="AE7" s="1317"/>
      <c r="AF7" s="1317"/>
      <c r="AG7" s="1317"/>
      <c r="AH7" s="1317"/>
      <c r="AI7" s="1317"/>
      <c r="AJ7" s="1317"/>
      <c r="AK7" s="1317"/>
      <c r="AL7" s="1317"/>
      <c r="AM7" s="1317"/>
      <c r="AN7" s="1317"/>
      <c r="AO7" s="1317"/>
      <c r="AP7" s="1317"/>
      <c r="AQ7" s="1317"/>
      <c r="AR7" s="1317"/>
      <c r="AS7" s="1317"/>
      <c r="AT7" s="1317"/>
      <c r="AU7" s="1317"/>
      <c r="AV7" s="1317"/>
      <c r="AW7" s="1317"/>
      <c r="AX7" s="1317"/>
      <c r="AY7" s="1317"/>
      <c r="AZ7" s="1317"/>
      <c r="BA7" s="1317"/>
      <c r="BB7" s="1318"/>
      <c r="BC7" s="805"/>
      <c r="BE7" s="66"/>
      <c r="BF7" s="66" t="str">
        <f t="shared" si="0"/>
        <v/>
      </c>
      <c r="BG7" s="66"/>
      <c r="BH7" s="66"/>
    </row>
    <row r="8" spans="1:60" ht="11.25" hidden="1" customHeight="1">
      <c r="A8" s="793"/>
      <c r="B8" s="793"/>
      <c r="C8" s="793"/>
      <c r="D8" s="793"/>
      <c r="E8" s="1288"/>
      <c r="F8" s="1288"/>
      <c r="G8" s="1288"/>
      <c r="H8" s="1288"/>
      <c r="I8" s="1290"/>
      <c r="J8" s="1290"/>
      <c r="K8" s="1289" t="e">
        <f>S4&amp;".1"</f>
        <v>#N/A</v>
      </c>
      <c r="L8" s="794"/>
      <c r="P8" s="1211"/>
      <c r="Q8" s="1211"/>
      <c r="R8" s="1340">
        <v>1</v>
      </c>
      <c r="S8" s="1337" t="e">
        <f>$K8</f>
        <v>#N/A</v>
      </c>
      <c r="T8" s="1396"/>
      <c r="U8" s="170"/>
      <c r="V8" s="317"/>
      <c r="W8" s="752"/>
      <c r="X8" s="317"/>
      <c r="Y8" s="752"/>
      <c r="Z8" s="974"/>
      <c r="AA8" s="308" t="s">
        <v>59</v>
      </c>
      <c r="AB8" s="974"/>
      <c r="AC8" s="308" t="s">
        <v>59</v>
      </c>
      <c r="AD8" s="1158" t="s">
        <v>59</v>
      </c>
      <c r="AE8" s="1333"/>
      <c r="AF8" s="1171">
        <v>1</v>
      </c>
      <c r="AG8" s="1395"/>
      <c r="AH8" s="1092" t="s">
        <v>59</v>
      </c>
      <c r="AI8" s="1333"/>
      <c r="AJ8" s="1171">
        <v>1</v>
      </c>
      <c r="AK8" s="1394" t="s">
        <v>18</v>
      </c>
      <c r="AL8" s="1092" t="s">
        <v>59</v>
      </c>
      <c r="AM8" s="1146"/>
      <c r="AN8" s="1171">
        <v>1</v>
      </c>
      <c r="AO8" s="1399"/>
      <c r="AP8" s="1400" t="s">
        <v>59</v>
      </c>
      <c r="AQ8" s="181"/>
      <c r="AR8" s="280">
        <v>1</v>
      </c>
      <c r="AS8" s="116" t="s">
        <v>18</v>
      </c>
      <c r="AT8" s="317"/>
      <c r="AU8" s="752"/>
      <c r="AV8" s="317"/>
      <c r="AW8" s="752"/>
      <c r="AX8" s="974"/>
      <c r="AY8" s="308" t="s">
        <v>59</v>
      </c>
      <c r="AZ8" s="974"/>
      <c r="BA8" s="308" t="s">
        <v>59</v>
      </c>
      <c r="BB8" s="790"/>
      <c r="BC8" s="1309" t="s">
        <v>1705</v>
      </c>
      <c r="BE8" s="66"/>
      <c r="BF8" s="66" t="str">
        <f t="shared" si="0"/>
        <v/>
      </c>
      <c r="BG8" s="66"/>
      <c r="BH8" s="66"/>
    </row>
    <row r="9" spans="1:60" ht="11.25" hidden="1" customHeight="1">
      <c r="A9" s="793"/>
      <c r="B9" s="793"/>
      <c r="C9" s="793"/>
      <c r="D9" s="793"/>
      <c r="E9" s="1288"/>
      <c r="F9" s="1288"/>
      <c r="G9" s="1288"/>
      <c r="H9" s="1288"/>
      <c r="I9" s="1290"/>
      <c r="J9" s="1290"/>
      <c r="K9" s="1289"/>
      <c r="L9" s="794"/>
      <c r="P9" s="1211"/>
      <c r="Q9" s="1211"/>
      <c r="R9" s="1340"/>
      <c r="S9" s="1338"/>
      <c r="T9" s="1397"/>
      <c r="U9" s="170"/>
      <c r="V9" s="813"/>
      <c r="W9" s="843"/>
      <c r="X9" s="813"/>
      <c r="Y9" s="843"/>
      <c r="Z9" s="813"/>
      <c r="AA9" s="813"/>
      <c r="AB9" s="813"/>
      <c r="AC9" s="813"/>
      <c r="AD9" s="1159"/>
      <c r="AE9" s="1333"/>
      <c r="AF9" s="1171"/>
      <c r="AG9" s="1395"/>
      <c r="AH9" s="1092"/>
      <c r="AI9" s="1333"/>
      <c r="AJ9" s="1171"/>
      <c r="AK9" s="1394"/>
      <c r="AL9" s="1092"/>
      <c r="AM9" s="1151"/>
      <c r="AN9" s="1171"/>
      <c r="AO9" s="1399"/>
      <c r="AP9" s="1401"/>
      <c r="AQ9" s="186"/>
      <c r="AR9" s="50"/>
      <c r="AS9" s="50" t="s">
        <v>1706</v>
      </c>
      <c r="AT9" s="813"/>
      <c r="AU9" s="843"/>
      <c r="AV9" s="813"/>
      <c r="AW9" s="843"/>
      <c r="AX9" s="813"/>
      <c r="AY9" s="813"/>
      <c r="AZ9" s="813"/>
      <c r="BA9" s="813"/>
      <c r="BB9" s="817"/>
      <c r="BC9" s="1310"/>
      <c r="BE9" s="66"/>
      <c r="BF9" s="66"/>
      <c r="BG9" s="66"/>
      <c r="BH9" s="66"/>
    </row>
    <row r="10" spans="1:60" ht="11.25" hidden="1" customHeight="1">
      <c r="A10" s="793"/>
      <c r="B10" s="793"/>
      <c r="C10" s="793"/>
      <c r="D10" s="793"/>
      <c r="E10" s="1288"/>
      <c r="F10" s="1288"/>
      <c r="G10" s="1288"/>
      <c r="H10" s="1288"/>
      <c r="I10" s="1290"/>
      <c r="J10" s="1290"/>
      <c r="K10" s="1289"/>
      <c r="L10" s="794"/>
      <c r="P10" s="1211"/>
      <c r="Q10" s="1211"/>
      <c r="R10" s="1340"/>
      <c r="S10" s="1338"/>
      <c r="T10" s="1397"/>
      <c r="U10" s="170"/>
      <c r="V10" s="813"/>
      <c r="W10" s="843"/>
      <c r="X10" s="813"/>
      <c r="Y10" s="843"/>
      <c r="Z10" s="813"/>
      <c r="AA10" s="813"/>
      <c r="AB10" s="813"/>
      <c r="AC10" s="813"/>
      <c r="AD10" s="1159"/>
      <c r="AE10" s="1333"/>
      <c r="AF10" s="1171"/>
      <c r="AG10" s="1395"/>
      <c r="AH10" s="1092"/>
      <c r="AI10" s="1333"/>
      <c r="AJ10" s="1171"/>
      <c r="AK10" s="1394"/>
      <c r="AL10" s="1092"/>
      <c r="AM10" s="186"/>
      <c r="AN10" s="847"/>
      <c r="AO10" s="847" t="s">
        <v>2084</v>
      </c>
      <c r="AP10" s="50"/>
      <c r="AQ10" s="50"/>
      <c r="AR10" s="50"/>
      <c r="AS10" s="813"/>
      <c r="AT10" s="813"/>
      <c r="AU10" s="843"/>
      <c r="AV10" s="813"/>
      <c r="AW10" s="843"/>
      <c r="AX10" s="813"/>
      <c r="AY10" s="813"/>
      <c r="AZ10" s="813"/>
      <c r="BA10" s="813"/>
      <c r="BB10" s="817"/>
      <c r="BC10" s="1310"/>
      <c r="BE10" s="66"/>
      <c r="BF10" s="66"/>
      <c r="BG10" s="66"/>
      <c r="BH10" s="66"/>
    </row>
    <row r="11" spans="1:60" ht="11.25" hidden="1" customHeight="1">
      <c r="A11" s="793"/>
      <c r="B11" s="793"/>
      <c r="C11" s="793"/>
      <c r="D11" s="793"/>
      <c r="E11" s="1288"/>
      <c r="F11" s="1288"/>
      <c r="G11" s="1288"/>
      <c r="H11" s="1288"/>
      <c r="I11" s="1290"/>
      <c r="J11" s="1290"/>
      <c r="K11" s="1289"/>
      <c r="L11" s="794"/>
      <c r="P11" s="1211"/>
      <c r="Q11" s="1211"/>
      <c r="R11" s="1340"/>
      <c r="S11" s="1338"/>
      <c r="T11" s="1397"/>
      <c r="U11" s="170"/>
      <c r="V11" s="813"/>
      <c r="W11" s="843"/>
      <c r="X11" s="813"/>
      <c r="Y11" s="843"/>
      <c r="Z11" s="813"/>
      <c r="AA11" s="813"/>
      <c r="AB11" s="813"/>
      <c r="AC11" s="813"/>
      <c r="AD11" s="1159"/>
      <c r="AE11" s="1333"/>
      <c r="AF11" s="1171"/>
      <c r="AG11" s="1395"/>
      <c r="AH11" s="1092"/>
      <c r="AI11" s="168"/>
      <c r="AJ11" s="107"/>
      <c r="AK11" s="183" t="s">
        <v>2085</v>
      </c>
      <c r="AL11" s="813"/>
      <c r="AM11" s="813"/>
      <c r="AN11" s="813"/>
      <c r="AO11" s="813"/>
      <c r="AP11" s="813"/>
      <c r="AQ11" s="813"/>
      <c r="AR11" s="813"/>
      <c r="AS11" s="813"/>
      <c r="AT11" s="813"/>
      <c r="AU11" s="843"/>
      <c r="AV11" s="813"/>
      <c r="AW11" s="843"/>
      <c r="AX11" s="813"/>
      <c r="AY11" s="813"/>
      <c r="AZ11" s="813"/>
      <c r="BA11" s="813"/>
      <c r="BB11" s="817"/>
      <c r="BC11" s="1310"/>
      <c r="BE11" s="66"/>
      <c r="BF11" s="66"/>
      <c r="BG11" s="66"/>
      <c r="BH11" s="66"/>
    </row>
    <row r="12" spans="1:60" ht="11.25" hidden="1" customHeight="1">
      <c r="A12" s="793"/>
      <c r="B12" s="793"/>
      <c r="C12" s="793"/>
      <c r="D12" s="793"/>
      <c r="E12" s="1288"/>
      <c r="F12" s="1288"/>
      <c r="G12" s="1288"/>
      <c r="H12" s="1288"/>
      <c r="I12" s="1290"/>
      <c r="J12" s="1290"/>
      <c r="K12" s="1289"/>
      <c r="L12" s="794"/>
      <c r="P12" s="1211"/>
      <c r="Q12" s="1211"/>
      <c r="R12" s="1340"/>
      <c r="S12" s="1339"/>
      <c r="T12" s="1398"/>
      <c r="U12" s="170"/>
      <c r="V12" s="813"/>
      <c r="W12" s="814" t="str">
        <f>Z8&amp;"-"&amp;AB8</f>
        <v>-</v>
      </c>
      <c r="X12" s="813"/>
      <c r="Y12" s="814" t="str">
        <f>AB8&amp;"-"&amp;AD8</f>
        <v>-да</v>
      </c>
      <c r="Z12" s="813"/>
      <c r="AA12" s="813"/>
      <c r="AB12" s="813"/>
      <c r="AC12" s="813"/>
      <c r="AD12" s="1098"/>
      <c r="AE12" s="182"/>
      <c r="AF12" s="184"/>
      <c r="AG12" s="50" t="s">
        <v>1709</v>
      </c>
      <c r="AH12" s="813"/>
      <c r="AI12" s="813"/>
      <c r="AJ12" s="813"/>
      <c r="AK12" s="813"/>
      <c r="AL12" s="813"/>
      <c r="AM12" s="813"/>
      <c r="AN12" s="813"/>
      <c r="AO12" s="813"/>
      <c r="AP12" s="813"/>
      <c r="AQ12" s="813"/>
      <c r="AR12" s="813"/>
      <c r="AS12" s="813"/>
      <c r="AT12" s="813"/>
      <c r="AU12" s="814" t="str">
        <f>AX8&amp;"-"&amp;AZ8</f>
        <v>-</v>
      </c>
      <c r="AV12" s="813"/>
      <c r="AW12" s="814" t="str">
        <f>AZ8&amp;"-"&amp;BB8</f>
        <v>-</v>
      </c>
      <c r="AX12" s="813"/>
      <c r="AY12" s="813"/>
      <c r="AZ12" s="813"/>
      <c r="BA12" s="813"/>
      <c r="BB12" s="816" t="str">
        <f>BE8&amp;"-"&amp;BG8</f>
        <v>-</v>
      </c>
      <c r="BC12" s="1310"/>
      <c r="BE12" s="66"/>
      <c r="BF12" s="66" t="str">
        <f t="shared" ref="BF12:BF18" si="1">IF(T12="","",T12)</f>
        <v/>
      </c>
      <c r="BG12" s="66"/>
      <c r="BH12" s="66"/>
    </row>
    <row r="13" spans="1:60" ht="11.25" hidden="1" customHeight="1">
      <c r="A13" s="793"/>
      <c r="B13" s="793"/>
      <c r="C13" s="793"/>
      <c r="D13" s="793"/>
      <c r="E13" s="1288"/>
      <c r="F13" s="1288"/>
      <c r="G13" s="1288"/>
      <c r="H13" s="1288"/>
      <c r="I13" s="1290"/>
      <c r="J13" s="1289"/>
      <c r="K13" s="793"/>
      <c r="L13" s="794"/>
      <c r="P13" s="1211"/>
      <c r="Q13" s="1211"/>
      <c r="R13" s="214"/>
      <c r="S13" s="767"/>
      <c r="T13" s="165" t="s">
        <v>551</v>
      </c>
      <c r="U13" s="221"/>
      <c r="V13" s="221"/>
      <c r="W13" s="221"/>
      <c r="X13" s="221"/>
      <c r="Y13" s="221"/>
      <c r="Z13" s="221"/>
      <c r="AA13" s="221"/>
      <c r="AB13" s="221"/>
      <c r="AC13" s="221"/>
      <c r="AD13" s="85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311"/>
      <c r="BE13" s="66"/>
      <c r="BF13" s="66" t="str">
        <f t="shared" si="1"/>
        <v>Добавить строку</v>
      </c>
      <c r="BG13" s="66"/>
      <c r="BH13" s="66"/>
    </row>
    <row r="14" spans="1:60" s="65" customFormat="1" ht="14.25" hidden="1" customHeight="1">
      <c r="A14" s="142"/>
      <c r="B14" s="142"/>
      <c r="C14" s="142"/>
      <c r="D14" s="142"/>
      <c r="E14" s="1288"/>
      <c r="F14" s="1288"/>
      <c r="G14" s="1288"/>
      <c r="H14" s="1288"/>
      <c r="I14" s="1289"/>
      <c r="J14" s="142"/>
      <c r="K14" s="142"/>
      <c r="L14" s="355"/>
      <c r="M14" s="228"/>
      <c r="N14" s="228"/>
      <c r="O14" s="228"/>
      <c r="P14" s="1211"/>
      <c r="Q14" s="119"/>
      <c r="R14" s="214"/>
      <c r="S14" s="806"/>
      <c r="T14" s="807"/>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c r="BA14" s="808"/>
      <c r="BB14" s="808"/>
      <c r="BC14" s="809"/>
      <c r="BE14" s="66"/>
      <c r="BF14" s="66" t="str">
        <f t="shared" si="1"/>
        <v/>
      </c>
      <c r="BG14" s="66"/>
      <c r="BH14" s="66"/>
    </row>
    <row r="15" spans="1:60" s="65" customFormat="1" ht="14.25" hidden="1" customHeight="1">
      <c r="A15" s="142"/>
      <c r="B15" s="142"/>
      <c r="C15" s="142"/>
      <c r="D15" s="142"/>
      <c r="E15" s="1288"/>
      <c r="F15" s="1288"/>
      <c r="G15" s="1288"/>
      <c r="H15" s="1287"/>
      <c r="I15" s="142"/>
      <c r="J15" s="142"/>
      <c r="K15" s="142"/>
      <c r="L15" s="355"/>
      <c r="M15" s="304"/>
      <c r="N15" s="304"/>
      <c r="P15" s="101"/>
      <c r="Q15" s="780"/>
      <c r="R15" s="820"/>
      <c r="S15" s="806"/>
      <c r="T15" s="807"/>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08"/>
      <c r="AY15" s="808"/>
      <c r="AZ15" s="808"/>
      <c r="BA15" s="808"/>
      <c r="BB15" s="808"/>
      <c r="BC15" s="809"/>
      <c r="BE15" s="66"/>
      <c r="BF15" s="66" t="str">
        <f t="shared" si="1"/>
        <v/>
      </c>
      <c r="BG15" s="66"/>
      <c r="BH15" s="66"/>
    </row>
    <row r="16" spans="1:60" s="65" customFormat="1" ht="14.25" hidden="1" customHeight="1">
      <c r="A16" s="142"/>
      <c r="B16" s="142"/>
      <c r="C16" s="142"/>
      <c r="D16" s="142"/>
      <c r="E16" s="1288"/>
      <c r="F16" s="1288"/>
      <c r="G16" s="1287"/>
      <c r="H16" s="142"/>
      <c r="I16" s="142"/>
      <c r="J16" s="142"/>
      <c r="K16" s="142"/>
      <c r="L16" s="355"/>
      <c r="M16" s="304"/>
      <c r="N16" s="304"/>
      <c r="P16" s="101"/>
      <c r="Q16" s="780"/>
      <c r="R16" s="101"/>
      <c r="S16" s="785"/>
      <c r="T16" s="787"/>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E16" s="66"/>
      <c r="BF16" s="66" t="str">
        <f t="shared" si="1"/>
        <v/>
      </c>
      <c r="BG16" s="66"/>
      <c r="BH16" s="66"/>
    </row>
    <row r="17" spans="1:60" s="65" customFormat="1" ht="14.25" hidden="1" customHeight="1">
      <c r="A17" s="142"/>
      <c r="B17" s="142"/>
      <c r="C17" s="142"/>
      <c r="D17" s="142"/>
      <c r="E17" s="1288"/>
      <c r="F17" s="1287"/>
      <c r="G17" s="142"/>
      <c r="H17" s="142"/>
      <c r="I17" s="142"/>
      <c r="J17" s="142"/>
      <c r="K17" s="142"/>
      <c r="L17" s="355"/>
      <c r="M17" s="784"/>
      <c r="N17" s="784"/>
      <c r="P17" s="101"/>
      <c r="Q17" s="780"/>
      <c r="R17" s="101"/>
      <c r="S17" s="785"/>
      <c r="T17" s="787" t="s">
        <v>445</v>
      </c>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87"/>
      <c r="F18" s="142"/>
      <c r="G18" s="142"/>
      <c r="H18" s="142"/>
      <c r="I18" s="142"/>
      <c r="J18" s="142"/>
      <c r="K18" s="142"/>
      <c r="L18" s="355"/>
      <c r="M18" s="784"/>
      <c r="N18" s="784"/>
      <c r="P18" s="101"/>
      <c r="Q18" s="780"/>
      <c r="R18" s="101"/>
      <c r="S18" s="785"/>
      <c r="T18" s="787" t="s">
        <v>446</v>
      </c>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E18" s="66"/>
      <c r="BF18" s="66" t="str">
        <f t="shared" si="1"/>
        <v>Добавить территорию для дифференциации</v>
      </c>
      <c r="BG18" s="66"/>
      <c r="BH18" s="66"/>
    </row>
    <row r="19" spans="1:60" ht="14.25" hidden="1" customHeight="1"/>
    <row r="20" spans="1:60" ht="14.25" hidden="1" customHeight="1">
      <c r="AD20" s="323" t="s">
        <v>57</v>
      </c>
      <c r="AE20" s="848"/>
      <c r="AF20" s="323">
        <v>1</v>
      </c>
      <c r="AG20" s="849"/>
      <c r="AH20" s="323" t="s">
        <v>57</v>
      </c>
      <c r="AI20" s="848"/>
      <c r="AJ20" s="323">
        <v>1</v>
      </c>
      <c r="AK20" s="849"/>
      <c r="AL20" s="323" t="s">
        <v>57</v>
      </c>
      <c r="AM20" s="850"/>
      <c r="AN20" s="323">
        <v>1</v>
      </c>
      <c r="AO20" s="124"/>
      <c r="AP20" s="323" t="s">
        <v>57</v>
      </c>
      <c r="AQ20" s="850"/>
      <c r="AR20" s="323">
        <v>1</v>
      </c>
      <c r="AS20" s="124"/>
      <c r="AT20" s="196"/>
      <c r="AU20" s="231"/>
      <c r="AV20" s="196"/>
      <c r="AW20" s="231"/>
      <c r="AX20" s="976"/>
      <c r="AY20" s="840" t="s">
        <v>59</v>
      </c>
      <c r="AZ20" s="976"/>
      <c r="BA20" s="840" t="s">
        <v>59</v>
      </c>
    </row>
    <row r="21" spans="1:60" ht="14.25" hidden="1" customHeight="1">
      <c r="BD21" s="209"/>
      <c r="BE21" s="209"/>
      <c r="BF21" s="209"/>
      <c r="BG21" s="209"/>
      <c r="BH21" s="209"/>
    </row>
    <row r="22" spans="1:60" ht="14.25" hidden="1" customHeight="1">
      <c r="O22" s="795" t="s">
        <v>488</v>
      </c>
      <c r="Z22" s="185"/>
      <c r="AB22" s="185"/>
      <c r="AX22" s="185"/>
      <c r="AZ22" s="185"/>
      <c r="BD22" s="209"/>
      <c r="BE22" s="209"/>
      <c r="BF22" s="209"/>
      <c r="BG22" s="209"/>
      <c r="BH22" s="209"/>
    </row>
    <row r="23" spans="1:60" ht="14.25" hidden="1" customHeight="1">
      <c r="BD23" s="209"/>
      <c r="BE23" s="209"/>
      <c r="BF23" s="209"/>
      <c r="BG23" s="209"/>
      <c r="BH23" s="209"/>
    </row>
    <row r="24" spans="1:60" s="853" customFormat="1" ht="14.25" hidden="1" customHeight="1">
      <c r="M24" s="854"/>
      <c r="N24" s="854"/>
      <c r="O24" s="853" t="s">
        <v>489</v>
      </c>
      <c r="P24" s="854"/>
      <c r="Q24" s="855"/>
      <c r="R24" s="855"/>
      <c r="AA24" s="853" t="s">
        <v>491</v>
      </c>
      <c r="AC24" s="853" t="s">
        <v>492</v>
      </c>
      <c r="AD24" s="853" t="s">
        <v>552</v>
      </c>
      <c r="AH24" s="853" t="s">
        <v>552</v>
      </c>
      <c r="AK24" s="853" t="s">
        <v>1710</v>
      </c>
      <c r="AL24" s="853" t="s">
        <v>552</v>
      </c>
      <c r="AP24" s="853" t="s">
        <v>552</v>
      </c>
      <c r="AY24" s="853" t="s">
        <v>491</v>
      </c>
      <c r="BA24" s="853" t="s">
        <v>492</v>
      </c>
      <c r="BD24" s="856"/>
      <c r="BE24" s="856"/>
      <c r="BF24" s="856"/>
      <c r="BG24" s="856"/>
      <c r="BH24" s="856"/>
    </row>
    <row r="25" spans="1:60" ht="14.25" hidden="1" customHeight="1">
      <c r="O25" s="794"/>
      <c r="BD25" s="209"/>
      <c r="BE25" s="209"/>
      <c r="BF25" s="209"/>
      <c r="BG25" s="209"/>
      <c r="BH25" s="209"/>
    </row>
    <row r="26" spans="1:60" ht="14.25" hidden="1" customHeight="1">
      <c r="O26" s="794"/>
      <c r="BD26" s="209"/>
      <c r="BE26" s="209"/>
      <c r="BF26" s="209"/>
      <c r="BG26" s="209"/>
      <c r="BH26" s="209"/>
    </row>
    <row r="27" spans="1:60" ht="14.25" customHeight="1">
      <c r="Q27" s="167"/>
      <c r="R27" s="27"/>
      <c r="S27" s="764"/>
      <c r="T27" s="8"/>
      <c r="U27" s="8"/>
    </row>
    <row r="28" spans="1:60" ht="33.75" customHeight="1">
      <c r="Q28" s="167"/>
      <c r="R28" s="27"/>
      <c r="S28" s="1312"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1312"/>
      <c r="U28" s="1312"/>
      <c r="V28" s="1312"/>
      <c r="W28" s="1312"/>
      <c r="X28" s="1312"/>
      <c r="Y28" s="1312"/>
      <c r="Z28" s="1312"/>
      <c r="AA28" s="1312"/>
      <c r="AB28" s="1312"/>
      <c r="AC28" s="1312"/>
      <c r="AD28" s="1312"/>
      <c r="AE28" s="1312"/>
      <c r="AF28" s="1312"/>
      <c r="AG28" s="1312"/>
      <c r="AH28" s="1312"/>
      <c r="AI28" s="1312"/>
      <c r="AJ28" s="1312"/>
      <c r="AK28" s="1312"/>
      <c r="AL28" s="1312"/>
      <c r="AM28" s="1312"/>
      <c r="AN28" s="1312"/>
      <c r="AO28" s="1312"/>
      <c r="AP28" s="1312"/>
      <c r="AQ28" s="1312"/>
      <c r="AR28" s="1312"/>
      <c r="AS28" s="1312"/>
      <c r="AT28" s="1312"/>
      <c r="AU28" s="1312"/>
      <c r="AV28" s="1312"/>
      <c r="AW28" s="1312"/>
      <c r="AX28" s="1312"/>
      <c r="AY28" s="1312"/>
      <c r="AZ28" s="1312"/>
      <c r="BA28" s="57"/>
    </row>
    <row r="29" spans="1:60" ht="14.25" customHeight="1">
      <c r="Q29" s="167"/>
      <c r="R29" s="27"/>
      <c r="S29" s="1178" t="str">
        <f>IF(org=0,"Не определено",org)</f>
        <v>ООО "Концессионная Коммунальная Компания"</v>
      </c>
      <c r="T29" s="1178"/>
      <c r="U29" s="1178"/>
      <c r="V29" s="1178"/>
      <c r="W29" s="1178"/>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178"/>
      <c r="AS29" s="1178"/>
      <c r="AT29" s="1178"/>
      <c r="AU29" s="1178"/>
      <c r="AV29" s="1178"/>
      <c r="AW29" s="1178"/>
      <c r="AX29" s="1178"/>
      <c r="AY29" s="1178"/>
      <c r="AZ29" s="1178"/>
      <c r="BA29" s="57"/>
    </row>
    <row r="30" spans="1:60" ht="14.25" hidden="1" customHeight="1">
      <c r="Q30" s="167"/>
      <c r="R30" s="27"/>
      <c r="S30" s="764"/>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4"/>
      <c r="M31" s="79"/>
      <c r="N31" s="79"/>
      <c r="O31" s="79"/>
      <c r="P31" s="79"/>
      <c r="Q31" s="79"/>
      <c r="S31" s="1278" t="s">
        <v>40</v>
      </c>
      <c r="T31" s="1278"/>
      <c r="U31" s="797"/>
      <c r="V31" s="1280"/>
      <c r="W31" s="1280"/>
      <c r="X31" s="1280"/>
      <c r="Y31" s="1280"/>
      <c r="Z31" s="1280"/>
      <c r="AA31" s="1280"/>
      <c r="AB31" s="1280"/>
      <c r="AC31" s="9"/>
      <c r="AD31" s="1280" t="str">
        <f>IF(TITLE_NAME_OR_PR_CHANGE="",IF(TITLE_NAME_OR_PR="","",TITLE_NAME_OR_PR),TITLE_NAME_OR_PR_CHANGE)</f>
        <v/>
      </c>
      <c r="AE31" s="1280"/>
      <c r="AF31" s="1280"/>
      <c r="AG31" s="1280"/>
      <c r="AH31" s="1280"/>
      <c r="AI31" s="1280"/>
      <c r="AJ31" s="1280"/>
      <c r="AK31" s="1280"/>
      <c r="AL31" s="1280"/>
      <c r="AM31" s="1280"/>
      <c r="AN31" s="1280"/>
      <c r="AO31" s="1280"/>
      <c r="AP31" s="1280"/>
      <c r="AQ31" s="1280"/>
      <c r="AR31" s="1280"/>
      <c r="AS31" s="1280"/>
      <c r="AT31" s="1280"/>
      <c r="AU31" s="1280"/>
      <c r="AV31" s="1280"/>
      <c r="AW31" s="1280"/>
      <c r="AX31" s="1280"/>
      <c r="AY31" s="1280"/>
      <c r="AZ31" s="1280"/>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4"/>
      <c r="M32" s="79"/>
      <c r="N32" s="79"/>
      <c r="O32" s="79"/>
      <c r="P32" s="79"/>
      <c r="Q32" s="79"/>
      <c r="S32" s="1278" t="s">
        <v>494</v>
      </c>
      <c r="T32" s="1278"/>
      <c r="U32" s="797"/>
      <c r="V32" s="1279"/>
      <c r="W32" s="1279"/>
      <c r="X32" s="1279"/>
      <c r="Y32" s="1279"/>
      <c r="Z32" s="1279"/>
      <c r="AA32" s="1279"/>
      <c r="AB32" s="1279"/>
      <c r="AC32" s="9"/>
      <c r="AD32" s="1279" t="str">
        <f>IF(TITLE_DATE_CHANGE_PERIOD="",IF(TITLE_DATE_PR="","",TITLE_DATE_PR),TITLE_DATE_CHANGE_PERIOD)</f>
        <v/>
      </c>
      <c r="AE32" s="1279"/>
      <c r="AF32" s="1279"/>
      <c r="AG32" s="1279"/>
      <c r="AH32" s="1279"/>
      <c r="AI32" s="1279"/>
      <c r="AJ32" s="1279"/>
      <c r="AK32" s="1279"/>
      <c r="AL32" s="1279"/>
      <c r="AM32" s="1279"/>
      <c r="AN32" s="1279"/>
      <c r="AO32" s="1279"/>
      <c r="AP32" s="1279"/>
      <c r="AQ32" s="1279"/>
      <c r="AR32" s="1279"/>
      <c r="AS32" s="1279"/>
      <c r="AT32" s="1279"/>
      <c r="AU32" s="1279"/>
      <c r="AV32" s="1279"/>
      <c r="AW32" s="1279"/>
      <c r="AX32" s="1279"/>
      <c r="AY32" s="1279"/>
      <c r="AZ32" s="1279"/>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4"/>
      <c r="M33" s="79"/>
      <c r="N33" s="79"/>
      <c r="O33" s="79"/>
      <c r="P33" s="79"/>
      <c r="Q33" s="79"/>
      <c r="S33" s="1278" t="s">
        <v>495</v>
      </c>
      <c r="T33" s="1278"/>
      <c r="U33" s="797"/>
      <c r="V33" s="1280"/>
      <c r="W33" s="1280"/>
      <c r="X33" s="1280"/>
      <c r="Y33" s="1280"/>
      <c r="Z33" s="1280"/>
      <c r="AA33" s="1280"/>
      <c r="AB33" s="1280"/>
      <c r="AC33" s="9"/>
      <c r="AD33" s="1280" t="str">
        <f>IF(TITLE_NUMBER_PR_CHANGE="",IF(TITLE_NUMBER_PR="","",TITLE_NUMBER_PR),TITLE_NUMBER_PR_CHANGE)</f>
        <v/>
      </c>
      <c r="AE33" s="1280"/>
      <c r="AF33" s="1280"/>
      <c r="AG33" s="1280"/>
      <c r="AH33" s="1280"/>
      <c r="AI33" s="1280"/>
      <c r="AJ33" s="1280"/>
      <c r="AK33" s="1280"/>
      <c r="AL33" s="1280"/>
      <c r="AM33" s="1280"/>
      <c r="AN33" s="1280"/>
      <c r="AO33" s="1280"/>
      <c r="AP33" s="1280"/>
      <c r="AQ33" s="1280"/>
      <c r="AR33" s="1280"/>
      <c r="AS33" s="1280"/>
      <c r="AT33" s="1280"/>
      <c r="AU33" s="1280"/>
      <c r="AV33" s="1280"/>
      <c r="AW33" s="1280"/>
      <c r="AX33" s="1280"/>
      <c r="AY33" s="1280"/>
      <c r="AZ33" s="1280"/>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4"/>
      <c r="M34" s="79"/>
      <c r="N34" s="79"/>
      <c r="O34" s="79"/>
      <c r="P34" s="79"/>
      <c r="Q34" s="79"/>
      <c r="S34" s="1278" t="s">
        <v>41</v>
      </c>
      <c r="T34" s="1278"/>
      <c r="U34" s="797"/>
      <c r="V34" s="1280"/>
      <c r="W34" s="1280"/>
      <c r="X34" s="1280"/>
      <c r="Y34" s="1280"/>
      <c r="Z34" s="1280"/>
      <c r="AA34" s="1280"/>
      <c r="AB34" s="1280"/>
      <c r="AC34" s="9"/>
      <c r="AD34" s="1280" t="str">
        <f>IF(TITLE_IST_PUB_CHANGE="",IF(TITLE_IST_PUB="","",TITLE_IST_PUB),TITLE_IST_PUB_CHANGE)</f>
        <v/>
      </c>
      <c r="AE34" s="1280"/>
      <c r="AF34" s="1280"/>
      <c r="AG34" s="1280"/>
      <c r="AH34" s="1280"/>
      <c r="AI34" s="1280"/>
      <c r="AJ34" s="1280"/>
      <c r="AK34" s="1280"/>
      <c r="AL34" s="1280"/>
      <c r="AM34" s="1280"/>
      <c r="AN34" s="1280"/>
      <c r="AO34" s="1280"/>
      <c r="AP34" s="1280"/>
      <c r="AQ34" s="1280"/>
      <c r="AR34" s="1280"/>
      <c r="AS34" s="1280"/>
      <c r="AT34" s="1280"/>
      <c r="AU34" s="1280"/>
      <c r="AV34" s="1280"/>
      <c r="AW34" s="1280"/>
      <c r="AX34" s="1280"/>
      <c r="AY34" s="1280"/>
      <c r="AZ34" s="1280"/>
      <c r="BA34" s="9"/>
      <c r="BB34" s="9"/>
      <c r="BC34" s="162"/>
      <c r="BD34" s="66"/>
      <c r="BE34" s="66"/>
      <c r="BF34" s="66"/>
      <c r="BG34" s="66"/>
      <c r="BH34" s="66"/>
    </row>
    <row r="35" spans="1:60" ht="14.25" hidden="1" customHeight="1">
      <c r="Q35" s="167"/>
      <c r="R35" s="27"/>
      <c r="S35" s="764"/>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4"/>
      <c r="M36" s="79"/>
      <c r="N36" s="79"/>
      <c r="O36" s="79"/>
      <c r="P36" s="79"/>
      <c r="Q36" s="79"/>
      <c r="S36" s="1278" t="s">
        <v>494</v>
      </c>
      <c r="T36" s="1278"/>
      <c r="U36" s="797"/>
      <c r="V36" s="1279"/>
      <c r="W36" s="1279"/>
      <c r="X36" s="1279"/>
      <c r="Y36" s="1279"/>
      <c r="Z36" s="1279"/>
      <c r="AA36" s="1279"/>
      <c r="AB36" s="1279"/>
      <c r="AC36" s="9"/>
      <c r="AD36" s="1279" t="str">
        <f>IF(TITLE_DATE_CHANGE_PERIOD="",IF(TITLE_DATE_PR="","",TITLE_DATE_PR),TITLE_DATE_CHANGE_PERIOD)</f>
        <v/>
      </c>
      <c r="AE36" s="1279"/>
      <c r="AF36" s="1279"/>
      <c r="AG36" s="1279"/>
      <c r="AH36" s="1279"/>
      <c r="AI36" s="1279"/>
      <c r="AJ36" s="1279"/>
      <c r="AK36" s="1279"/>
      <c r="AL36" s="1279"/>
      <c r="AM36" s="1279"/>
      <c r="AN36" s="1279"/>
      <c r="AO36" s="1279"/>
      <c r="AP36" s="1279"/>
      <c r="AQ36" s="1279"/>
      <c r="AR36" s="1279"/>
      <c r="AS36" s="1279"/>
      <c r="AT36" s="1279"/>
      <c r="AU36" s="1279"/>
      <c r="AV36" s="1279"/>
      <c r="AW36" s="1279"/>
      <c r="AX36" s="1279"/>
      <c r="AY36" s="1279"/>
      <c r="AZ36" s="1279"/>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4"/>
      <c r="M37" s="79"/>
      <c r="N37" s="79"/>
      <c r="O37" s="79"/>
      <c r="P37" s="79"/>
      <c r="Q37" s="79"/>
      <c r="S37" s="1278" t="s">
        <v>495</v>
      </c>
      <c r="T37" s="1278"/>
      <c r="U37" s="797"/>
      <c r="V37" s="1280"/>
      <c r="W37" s="1280"/>
      <c r="X37" s="1280"/>
      <c r="Y37" s="1280"/>
      <c r="Z37" s="1280"/>
      <c r="AA37" s="1280"/>
      <c r="AB37" s="1280"/>
      <c r="AC37" s="9"/>
      <c r="AD37" s="1280" t="str">
        <f>IF(TITLE_NUMBER_PR_CHANGE="",IF(TITLE_NUMBER_PR="","",TITLE_NUMBER_PR),TITLE_NUMBER_PR_CHANGE)</f>
        <v/>
      </c>
      <c r="AE37" s="1280"/>
      <c r="AF37" s="1280"/>
      <c r="AG37" s="1280"/>
      <c r="AH37" s="1280"/>
      <c r="AI37" s="1280"/>
      <c r="AJ37" s="1280"/>
      <c r="AK37" s="1280"/>
      <c r="AL37" s="1280"/>
      <c r="AM37" s="1280"/>
      <c r="AN37" s="1280"/>
      <c r="AO37" s="1280"/>
      <c r="AP37" s="1280"/>
      <c r="AQ37" s="1280"/>
      <c r="AR37" s="1280"/>
      <c r="AS37" s="1280"/>
      <c r="AT37" s="1280"/>
      <c r="AU37" s="1280"/>
      <c r="AV37" s="1280"/>
      <c r="AW37" s="1280"/>
      <c r="AX37" s="1280"/>
      <c r="AY37" s="1280"/>
      <c r="AZ37" s="1280"/>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4"/>
      <c r="M38" s="79"/>
      <c r="N38" s="79"/>
      <c r="O38" s="79"/>
      <c r="P38" s="79"/>
      <c r="Q38" s="79"/>
      <c r="S38" s="9"/>
      <c r="T38" s="9"/>
      <c r="U38" s="75"/>
      <c r="V38" s="9"/>
      <c r="W38" s="9"/>
      <c r="X38" s="9"/>
      <c r="Y38" s="9"/>
      <c r="Z38" s="9"/>
      <c r="AA38" s="9"/>
      <c r="AB38" s="9"/>
      <c r="AC38" s="65" t="s">
        <v>498</v>
      </c>
      <c r="AD38" s="9"/>
      <c r="AE38" s="9"/>
      <c r="AF38" s="9"/>
      <c r="AG38" s="9"/>
      <c r="AH38" s="9"/>
      <c r="AI38" s="9"/>
      <c r="AJ38" s="9"/>
      <c r="AK38" s="9"/>
      <c r="AL38" s="9"/>
      <c r="AM38" s="9"/>
      <c r="AN38" s="9"/>
      <c r="AO38" s="9"/>
      <c r="AP38" s="9"/>
      <c r="AQ38" s="9"/>
      <c r="AR38" s="9"/>
      <c r="AS38" s="9"/>
      <c r="AT38" s="9"/>
      <c r="AU38" s="9"/>
      <c r="AV38" s="9"/>
      <c r="AW38" s="9"/>
      <c r="AX38" s="9"/>
      <c r="AY38" s="9"/>
      <c r="AZ38" s="9"/>
      <c r="BA38" s="65" t="s">
        <v>498</v>
      </c>
      <c r="BD38" s="66"/>
      <c r="BE38" s="66"/>
      <c r="BF38" s="66"/>
      <c r="BG38" s="66"/>
      <c r="BH38" s="66"/>
    </row>
    <row r="39" spans="1:60" ht="14.25" customHeight="1">
      <c r="Q39" s="167"/>
      <c r="R39" s="27"/>
      <c r="S39" s="764"/>
      <c r="T39" s="8"/>
      <c r="U39" s="736"/>
      <c r="V39" s="1298"/>
      <c r="W39" s="1298"/>
      <c r="X39" s="1298"/>
      <c r="Y39" s="1298"/>
      <c r="Z39" s="1298"/>
      <c r="AA39" s="1298"/>
      <c r="AB39" s="1298"/>
      <c r="AC39" s="1298"/>
      <c r="AD39" s="1298"/>
      <c r="AE39" s="1298"/>
      <c r="AF39" s="1298"/>
      <c r="AG39" s="1298"/>
      <c r="AH39" s="1298"/>
      <c r="AI39" s="1298"/>
      <c r="AJ39" s="1298"/>
      <c r="AK39" s="1298"/>
      <c r="AL39" s="1298"/>
      <c r="AM39" s="1298"/>
      <c r="AN39" s="1298"/>
      <c r="AO39" s="1298"/>
      <c r="AP39" s="1298"/>
      <c r="AQ39" s="1298"/>
      <c r="AR39" s="1298"/>
      <c r="AS39" s="1298"/>
      <c r="AT39" s="1298"/>
      <c r="AU39" s="1298"/>
      <c r="AV39" s="1298"/>
      <c r="AW39" s="1298"/>
      <c r="AX39" s="1298"/>
      <c r="AY39" s="1298"/>
      <c r="AZ39" s="1298"/>
      <c r="BA39" s="1298"/>
    </row>
    <row r="40" spans="1:60" ht="14.25" customHeight="1">
      <c r="Q40" s="167"/>
      <c r="R40" s="27"/>
      <c r="S40" s="1082" t="s">
        <v>302</v>
      </c>
      <c r="T40" s="1082"/>
      <c r="U40" s="1082"/>
      <c r="V40" s="1082"/>
      <c r="W40" s="1082"/>
      <c r="X40" s="1082"/>
      <c r="Y40" s="1082"/>
      <c r="Z40" s="1082"/>
      <c r="AA40" s="1082"/>
      <c r="AB40" s="1082"/>
      <c r="AC40" s="1082"/>
      <c r="AD40" s="1082"/>
      <c r="AE40" s="1082"/>
      <c r="AF40" s="1082"/>
      <c r="AG40" s="1082"/>
      <c r="AH40" s="1082"/>
      <c r="AI40" s="1082"/>
      <c r="AJ40" s="1082"/>
      <c r="AK40" s="1082"/>
      <c r="AL40" s="1082"/>
      <c r="AM40" s="1082"/>
      <c r="AN40" s="1082"/>
      <c r="AO40" s="1082"/>
      <c r="AP40" s="1082"/>
      <c r="AQ40" s="1082"/>
      <c r="AR40" s="1082"/>
      <c r="AS40" s="1082"/>
      <c r="AT40" s="1082"/>
      <c r="AU40" s="1082"/>
      <c r="AV40" s="1082"/>
      <c r="AW40" s="1082"/>
      <c r="AX40" s="1082"/>
      <c r="AY40" s="1082"/>
      <c r="AZ40" s="1082"/>
      <c r="BA40" s="1082"/>
      <c r="BB40" s="1082"/>
      <c r="BC40" s="1082" t="s">
        <v>303</v>
      </c>
    </row>
    <row r="41" spans="1:60" ht="14.25" customHeight="1">
      <c r="Q41" s="167"/>
      <c r="R41" s="27"/>
      <c r="S41" s="1299" t="s">
        <v>88</v>
      </c>
      <c r="T41" s="1176" t="s">
        <v>1711</v>
      </c>
      <c r="U41" s="171"/>
      <c r="V41" s="1300" t="s">
        <v>500</v>
      </c>
      <c r="W41" s="1301"/>
      <c r="X41" s="1301"/>
      <c r="Y41" s="1301"/>
      <c r="Z41" s="1301"/>
      <c r="AA41" s="1301"/>
      <c r="AB41" s="1302"/>
      <c r="AC41" s="1303" t="s">
        <v>501</v>
      </c>
      <c r="AD41" s="1326" t="s">
        <v>2086</v>
      </c>
      <c r="AE41" s="1315"/>
      <c r="AF41" s="1315"/>
      <c r="AG41" s="1327"/>
      <c r="AH41" s="1326" t="s">
        <v>2087</v>
      </c>
      <c r="AI41" s="1315"/>
      <c r="AJ41" s="1315"/>
      <c r="AK41" s="1327"/>
      <c r="AL41" s="1326" t="s">
        <v>2088</v>
      </c>
      <c r="AM41" s="1315"/>
      <c r="AN41" s="1315"/>
      <c r="AO41" s="1327"/>
      <c r="AP41" s="1326" t="s">
        <v>1715</v>
      </c>
      <c r="AQ41" s="1315"/>
      <c r="AR41" s="1315"/>
      <c r="AS41" s="1327"/>
      <c r="AT41" s="1300" t="s">
        <v>500</v>
      </c>
      <c r="AU41" s="1301"/>
      <c r="AV41" s="1301"/>
      <c r="AW41" s="1301"/>
      <c r="AX41" s="1301"/>
      <c r="AY41" s="1301"/>
      <c r="AZ41" s="1302"/>
      <c r="BA41" s="1303" t="s">
        <v>501</v>
      </c>
      <c r="BB41" s="1306" t="s">
        <v>503</v>
      </c>
      <c r="BC41" s="1082"/>
    </row>
    <row r="42" spans="1:60" ht="33.75" customHeight="1">
      <c r="Q42" s="167"/>
      <c r="R42" s="27"/>
      <c r="S42" s="1299"/>
      <c r="T42" s="1176"/>
      <c r="U42" s="621"/>
      <c r="V42" s="1146" t="s">
        <v>1716</v>
      </c>
      <c r="W42" s="1147"/>
      <c r="X42" s="1146" t="s">
        <v>1717</v>
      </c>
      <c r="Y42" s="1147"/>
      <c r="Z42" s="1146" t="s">
        <v>1718</v>
      </c>
      <c r="AA42" s="1320"/>
      <c r="AB42" s="1147"/>
      <c r="AC42" s="1304"/>
      <c r="AD42" s="1328"/>
      <c r="AE42" s="1329"/>
      <c r="AF42" s="1329"/>
      <c r="AG42" s="1341"/>
      <c r="AH42" s="1328"/>
      <c r="AI42" s="1329"/>
      <c r="AJ42" s="1329"/>
      <c r="AK42" s="1341"/>
      <c r="AL42" s="1328"/>
      <c r="AM42" s="1329"/>
      <c r="AN42" s="1329"/>
      <c r="AO42" s="1341"/>
      <c r="AP42" s="1328"/>
      <c r="AQ42" s="1329"/>
      <c r="AR42" s="1329"/>
      <c r="AS42" s="1341"/>
      <c r="AT42" s="1146" t="s">
        <v>2089</v>
      </c>
      <c r="AU42" s="1147"/>
      <c r="AV42" s="1146" t="s">
        <v>2090</v>
      </c>
      <c r="AW42" s="1147"/>
      <c r="AX42" s="1146" t="s">
        <v>1718</v>
      </c>
      <c r="AY42" s="1320"/>
      <c r="AZ42" s="1147"/>
      <c r="BA42" s="1304"/>
      <c r="BB42" s="1307"/>
      <c r="BC42" s="1082"/>
    </row>
    <row r="43" spans="1:60" ht="14.25" customHeight="1">
      <c r="Q43" s="167"/>
      <c r="R43" s="27"/>
      <c r="S43" s="1299"/>
      <c r="T43" s="1176"/>
      <c r="U43" s="621"/>
      <c r="V43" s="1151"/>
      <c r="W43" s="1152"/>
      <c r="X43" s="1151"/>
      <c r="Y43" s="1152"/>
      <c r="Z43" s="1151"/>
      <c r="AA43" s="1321"/>
      <c r="AB43" s="1152"/>
      <c r="AC43" s="1304"/>
      <c r="AD43" s="1328"/>
      <c r="AE43" s="1329"/>
      <c r="AF43" s="1329"/>
      <c r="AG43" s="1341"/>
      <c r="AH43" s="1328"/>
      <c r="AI43" s="1329"/>
      <c r="AJ43" s="1329"/>
      <c r="AK43" s="1341"/>
      <c r="AL43" s="1328"/>
      <c r="AM43" s="1329"/>
      <c r="AN43" s="1329"/>
      <c r="AO43" s="1341"/>
      <c r="AP43" s="1328"/>
      <c r="AQ43" s="1329"/>
      <c r="AR43" s="1329"/>
      <c r="AS43" s="1341"/>
      <c r="AT43" s="1151"/>
      <c r="AU43" s="1152"/>
      <c r="AV43" s="1151"/>
      <c r="AW43" s="1152"/>
      <c r="AX43" s="1151"/>
      <c r="AY43" s="1321"/>
      <c r="AZ43" s="1152"/>
      <c r="BA43" s="1304"/>
      <c r="BB43" s="1307"/>
      <c r="BC43" s="1082"/>
    </row>
    <row r="44" spans="1:60" ht="14.25" customHeight="1">
      <c r="A44" s="79"/>
      <c r="B44" s="79" t="s">
        <v>151</v>
      </c>
      <c r="C44" s="79" t="s">
        <v>152</v>
      </c>
      <c r="D44" s="79" t="s">
        <v>153</v>
      </c>
      <c r="E44" s="794" t="s">
        <v>508</v>
      </c>
      <c r="F44" s="794" t="s">
        <v>509</v>
      </c>
      <c r="G44" s="794" t="s">
        <v>510</v>
      </c>
      <c r="H44" s="794" t="s">
        <v>511</v>
      </c>
      <c r="I44" s="794" t="s">
        <v>512</v>
      </c>
      <c r="J44" s="794" t="s">
        <v>513</v>
      </c>
      <c r="K44" s="794" t="s">
        <v>514</v>
      </c>
      <c r="L44" s="794" t="s">
        <v>489</v>
      </c>
      <c r="Q44" s="167"/>
      <c r="R44" s="27"/>
      <c r="S44" s="1299"/>
      <c r="T44" s="1176"/>
      <c r="U44" s="172"/>
      <c r="V44" s="34" t="s">
        <v>562</v>
      </c>
      <c r="W44" s="34" t="s">
        <v>563</v>
      </c>
      <c r="X44" s="34" t="s">
        <v>562</v>
      </c>
      <c r="Y44" s="34" t="s">
        <v>563</v>
      </c>
      <c r="Z44" s="37" t="s">
        <v>517</v>
      </c>
      <c r="AA44" s="1182" t="s">
        <v>518</v>
      </c>
      <c r="AB44" s="1195"/>
      <c r="AC44" s="1305"/>
      <c r="AD44" s="1330"/>
      <c r="AE44" s="1331"/>
      <c r="AF44" s="1331"/>
      <c r="AG44" s="1332"/>
      <c r="AH44" s="1330"/>
      <c r="AI44" s="1331"/>
      <c r="AJ44" s="1331"/>
      <c r="AK44" s="1332"/>
      <c r="AL44" s="1330"/>
      <c r="AM44" s="1331"/>
      <c r="AN44" s="1331"/>
      <c r="AO44" s="1332"/>
      <c r="AP44" s="1330"/>
      <c r="AQ44" s="1331"/>
      <c r="AR44" s="1331"/>
      <c r="AS44" s="1332"/>
      <c r="AT44" s="34" t="s">
        <v>562</v>
      </c>
      <c r="AU44" s="34" t="s">
        <v>563</v>
      </c>
      <c r="AV44" s="34" t="s">
        <v>562</v>
      </c>
      <c r="AW44" s="34" t="s">
        <v>563</v>
      </c>
      <c r="AX44" s="37" t="s">
        <v>517</v>
      </c>
      <c r="AY44" s="1182" t="s">
        <v>518</v>
      </c>
      <c r="AZ44" s="1195"/>
      <c r="BA44" s="1305"/>
      <c r="BB44" s="1308"/>
      <c r="BC44" s="1082"/>
    </row>
    <row r="45" spans="1:60" s="209" customFormat="1" ht="11.25" hidden="1" customHeight="1">
      <c r="A45" s="79"/>
      <c r="B45" s="79"/>
      <c r="C45" s="79"/>
      <c r="D45" s="79"/>
      <c r="E45" s="79"/>
      <c r="F45" s="79"/>
      <c r="G45" s="79"/>
      <c r="H45" s="79"/>
      <c r="I45" s="79"/>
      <c r="J45" s="79"/>
      <c r="K45" s="79"/>
      <c r="L45" s="794"/>
      <c r="M45" s="519"/>
      <c r="N45" s="519"/>
      <c r="O45" s="519"/>
      <c r="P45" s="228"/>
      <c r="Q45" s="747"/>
      <c r="R45" s="747">
        <v>1</v>
      </c>
      <c r="S45" s="766" t="s">
        <v>119</v>
      </c>
      <c r="T45" s="748" t="s">
        <v>103</v>
      </c>
      <c r="U45" s="737" t="str">
        <f ca="1">OFFSET(U45,0,-1)</f>
        <v>2</v>
      </c>
      <c r="V45" s="749">
        <f t="shared" ref="V45:AA45" ca="1" si="2">OFFSET(V45,0,-1)+1</f>
        <v>3</v>
      </c>
      <c r="W45" s="749">
        <f t="shared" ca="1" si="2"/>
        <v>4</v>
      </c>
      <c r="X45" s="749">
        <f t="shared" ca="1" si="2"/>
        <v>5</v>
      </c>
      <c r="Y45" s="749">
        <f t="shared" ca="1" si="2"/>
        <v>6</v>
      </c>
      <c r="Z45" s="749">
        <f t="shared" ca="1" si="2"/>
        <v>7</v>
      </c>
      <c r="AA45" s="1297">
        <f t="shared" ca="1" si="2"/>
        <v>8</v>
      </c>
      <c r="AB45" s="1297"/>
      <c r="AC45" s="749">
        <f ca="1">OFFSET(AC45,0,-2)+1</f>
        <v>9</v>
      </c>
      <c r="AD45" s="749">
        <f ca="1">OFFSET(AD45,0,-1)+1</f>
        <v>10</v>
      </c>
      <c r="AE45" s="749"/>
      <c r="AF45" s="749"/>
      <c r="AG45" s="749"/>
      <c r="AH45" s="749"/>
      <c r="AI45" s="749"/>
      <c r="AJ45" s="749"/>
      <c r="AK45" s="749"/>
      <c r="AL45" s="749"/>
      <c r="AM45" s="749"/>
      <c r="AN45" s="749"/>
      <c r="AO45" s="749"/>
      <c r="AP45" s="749"/>
      <c r="AQ45" s="749"/>
      <c r="AR45" s="749"/>
      <c r="AS45" s="749"/>
      <c r="AT45" s="749"/>
      <c r="AU45" s="749"/>
      <c r="AV45" s="749"/>
      <c r="AW45" s="749">
        <f ca="1">OFFSET(AW45,0,-1)+1</f>
        <v>1</v>
      </c>
      <c r="AX45" s="749">
        <f ca="1">OFFSET(AX45,0,-1)+1</f>
        <v>2</v>
      </c>
      <c r="AY45" s="1297">
        <f ca="1">OFFSET(AY45,0,-1)+1</f>
        <v>3</v>
      </c>
      <c r="AZ45" s="1297"/>
      <c r="BA45" s="749">
        <f ca="1">OFFSET(BA45,0,-2)+1</f>
        <v>4</v>
      </c>
      <c r="BB45" s="737">
        <f ca="1">OFFSET(BB45,0,-1)</f>
        <v>4</v>
      </c>
      <c r="BC45" s="749">
        <f ca="1">OFFSET(BC45,0,-1)+1</f>
        <v>5</v>
      </c>
      <c r="BD45" s="65"/>
      <c r="BE45" s="65"/>
      <c r="BF45" s="65"/>
      <c r="BG45" s="65"/>
      <c r="BH45" s="65"/>
    </row>
    <row r="46" spans="1:60" ht="21" customHeight="1">
      <c r="A46" s="793" t="s">
        <v>278</v>
      </c>
      <c r="B46" s="793"/>
      <c r="C46" s="793"/>
      <c r="D46" s="793"/>
      <c r="E46" s="1287">
        <v>1</v>
      </c>
      <c r="F46" s="793"/>
      <c r="G46" s="793"/>
      <c r="H46" s="793"/>
      <c r="I46" s="793"/>
      <c r="J46" s="793"/>
      <c r="K46" s="793"/>
      <c r="L46" s="794"/>
      <c r="M46" s="433"/>
      <c r="N46" s="433"/>
      <c r="O46" s="433"/>
      <c r="Q46" s="59"/>
      <c r="R46" s="213"/>
      <c r="S46" s="725">
        <f>INDEX(PT_DIFFERENTIATION_NUM_NTAR,MATCH(A46,PT_DIFFERENTIATION_NTAR_ID,0))</f>
        <v>0</v>
      </c>
      <c r="T46" s="64" t="s">
        <v>139</v>
      </c>
      <c r="U46" s="170"/>
      <c r="V46" s="1282"/>
      <c r="W46" s="1282"/>
      <c r="X46" s="1282"/>
      <c r="Y46" s="1282"/>
      <c r="Z46" s="1282"/>
      <c r="AA46" s="1282"/>
      <c r="AB46" s="1282"/>
      <c r="AC46" s="1283"/>
      <c r="AD46" s="1281" t="str">
        <f>INDEX(PT_DIFFERENTIATION_NTAR,MATCH(A46,PT_DIFFERENTIATION_NTAR_ID,0))</f>
        <v/>
      </c>
      <c r="AE46" s="1282"/>
      <c r="AF46" s="1282"/>
      <c r="AG46" s="1282"/>
      <c r="AH46" s="1282"/>
      <c r="AI46" s="1282"/>
      <c r="AJ46" s="1282"/>
      <c r="AK46" s="1282"/>
      <c r="AL46" s="1282"/>
      <c r="AM46" s="1282"/>
      <c r="AN46" s="1282"/>
      <c r="AO46" s="1282"/>
      <c r="AP46" s="1282"/>
      <c r="AQ46" s="1282"/>
      <c r="AR46" s="1282"/>
      <c r="AS46" s="1282"/>
      <c r="AT46" s="1282"/>
      <c r="AU46" s="1282"/>
      <c r="AV46" s="1282"/>
      <c r="AW46" s="1282"/>
      <c r="AX46" s="1282"/>
      <c r="AY46" s="1282"/>
      <c r="AZ46" s="1282"/>
      <c r="BA46" s="1282"/>
      <c r="BB46" s="1283"/>
      <c r="BC46" s="7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3" t="s">
        <v>278</v>
      </c>
      <c r="B47" s="793" t="s">
        <v>279</v>
      </c>
      <c r="C47" s="793"/>
      <c r="D47" s="793"/>
      <c r="E47" s="1288"/>
      <c r="F47" s="1287">
        <v>1</v>
      </c>
      <c r="G47" s="793"/>
      <c r="H47" s="793"/>
      <c r="I47" s="793"/>
      <c r="J47" s="793"/>
      <c r="K47" s="793"/>
      <c r="L47" s="794"/>
      <c r="M47" s="433"/>
      <c r="N47" s="433"/>
      <c r="O47" s="433"/>
      <c r="P47" s="312"/>
      <c r="Q47" s="826"/>
      <c r="R47" s="211"/>
      <c r="S47" s="725" t="str">
        <f>INDEX(PT_DIFFERENTIATION_NUM_TER,MATCH(B47,PT_DIFFERENTIATION_TER_ID,0))</f>
        <v>.</v>
      </c>
      <c r="T47" s="178" t="s">
        <v>471</v>
      </c>
      <c r="U47" s="170"/>
      <c r="V47" s="1282"/>
      <c r="W47" s="1282"/>
      <c r="X47" s="1282"/>
      <c r="Y47" s="1282"/>
      <c r="Z47" s="1282"/>
      <c r="AA47" s="1282"/>
      <c r="AB47" s="1282"/>
      <c r="AC47" s="1283"/>
      <c r="AD47" s="1281" t="str">
        <f>INDEX(PT_DIFFERENTIATION_TER,MATCH(B47,PT_DIFFERENTIATION_TER_ID,0))</f>
        <v/>
      </c>
      <c r="AE47" s="1282"/>
      <c r="AF47" s="1282"/>
      <c r="AG47" s="1282"/>
      <c r="AH47" s="1282"/>
      <c r="AI47" s="1282"/>
      <c r="AJ47" s="1282"/>
      <c r="AK47" s="1282"/>
      <c r="AL47" s="1282"/>
      <c r="AM47" s="1282"/>
      <c r="AN47" s="1282"/>
      <c r="AO47" s="1282"/>
      <c r="AP47" s="1282"/>
      <c r="AQ47" s="1282"/>
      <c r="AR47" s="1282"/>
      <c r="AS47" s="1282"/>
      <c r="AT47" s="1282"/>
      <c r="AU47" s="1282"/>
      <c r="AV47" s="1282"/>
      <c r="AW47" s="1282"/>
      <c r="AX47" s="1282"/>
      <c r="AY47" s="1282"/>
      <c r="AZ47" s="1282"/>
      <c r="BA47" s="1282"/>
      <c r="BB47" s="1283"/>
      <c r="BC47" s="753" t="s">
        <v>472</v>
      </c>
      <c r="BE47" s="66"/>
      <c r="BF47" s="66" t="str">
        <f t="shared" si="3"/>
        <v>Территория действия тарифа</v>
      </c>
      <c r="BG47" s="66"/>
      <c r="BH47" s="66"/>
    </row>
    <row r="48" spans="1:60" ht="33.75" customHeight="1">
      <c r="A48" s="793" t="s">
        <v>278</v>
      </c>
      <c r="B48" s="793" t="s">
        <v>279</v>
      </c>
      <c r="C48" s="793" t="s">
        <v>280</v>
      </c>
      <c r="D48" s="793"/>
      <c r="E48" s="1288"/>
      <c r="F48" s="1288"/>
      <c r="G48" s="1287">
        <v>1</v>
      </c>
      <c r="H48" s="793"/>
      <c r="I48" s="793"/>
      <c r="J48" s="793"/>
      <c r="K48" s="793"/>
      <c r="L48" s="794"/>
      <c r="M48" s="433"/>
      <c r="N48" s="433"/>
      <c r="O48" s="433"/>
      <c r="P48" s="128"/>
      <c r="Q48" s="826"/>
      <c r="R48" s="211"/>
      <c r="S48" s="725" t="str">
        <f>INDEX(PT_DIFFERENTIATION_NUM_CS,MATCH(C48,PT_DIFFERENTIATION_CS_ID,0))</f>
        <v>..</v>
      </c>
      <c r="T48" s="179" t="s">
        <v>2076</v>
      </c>
      <c r="U48" s="170"/>
      <c r="V48" s="1282"/>
      <c r="W48" s="1282"/>
      <c r="X48" s="1282"/>
      <c r="Y48" s="1282"/>
      <c r="Z48" s="1282"/>
      <c r="AA48" s="1282"/>
      <c r="AB48" s="1282"/>
      <c r="AC48" s="1283"/>
      <c r="AD48" s="1281" t="str">
        <f>INDEX(PT_DIFFERENTIATION_CS,MATCH(C48,PT_DIFFERENTIATION_CS_ID,0))</f>
        <v/>
      </c>
      <c r="AE48" s="1282"/>
      <c r="AF48" s="1282"/>
      <c r="AG48" s="1282"/>
      <c r="AH48" s="1282"/>
      <c r="AI48" s="1282"/>
      <c r="AJ48" s="1282"/>
      <c r="AK48" s="1282"/>
      <c r="AL48" s="1282"/>
      <c r="AM48" s="1282"/>
      <c r="AN48" s="1282"/>
      <c r="AO48" s="1282"/>
      <c r="AP48" s="1282"/>
      <c r="AQ48" s="1282"/>
      <c r="AR48" s="1282"/>
      <c r="AS48" s="1282"/>
      <c r="AT48" s="1282"/>
      <c r="AU48" s="1282"/>
      <c r="AV48" s="1282"/>
      <c r="AW48" s="1282"/>
      <c r="AX48" s="1282"/>
      <c r="AY48" s="1282"/>
      <c r="AZ48" s="1282"/>
      <c r="BA48" s="1282"/>
      <c r="BB48" s="1283"/>
      <c r="BC48" s="753" t="s">
        <v>2077</v>
      </c>
      <c r="BE48" s="66"/>
      <c r="BF48" s="66" t="str">
        <f t="shared" si="3"/>
        <v>Наименование централизованной системы водоотведения</v>
      </c>
      <c r="BG48" s="66"/>
      <c r="BH48" s="66"/>
    </row>
    <row r="49" spans="1:60" s="65" customFormat="1" ht="0" hidden="1" customHeight="1">
      <c r="A49" s="142" t="s">
        <v>278</v>
      </c>
      <c r="B49" s="142" t="s">
        <v>279</v>
      </c>
      <c r="C49" s="142" t="s">
        <v>280</v>
      </c>
      <c r="D49" s="142" t="s">
        <v>2091</v>
      </c>
      <c r="E49" s="1288"/>
      <c r="F49" s="1288"/>
      <c r="G49" s="1288"/>
      <c r="H49" s="1287">
        <v>1</v>
      </c>
      <c r="I49" s="142"/>
      <c r="J49" s="142"/>
      <c r="K49" s="142"/>
      <c r="L49" s="355"/>
      <c r="M49" s="304"/>
      <c r="N49" s="304"/>
      <c r="O49" s="304"/>
      <c r="P49" s="844"/>
      <c r="Q49" s="845"/>
      <c r="R49" s="215"/>
      <c r="S49" s="371"/>
      <c r="T49" s="846"/>
      <c r="U49" s="804"/>
      <c r="V49" s="1317"/>
      <c r="W49" s="1317"/>
      <c r="X49" s="1317"/>
      <c r="Y49" s="1317"/>
      <c r="Z49" s="1317"/>
      <c r="AA49" s="1317"/>
      <c r="AB49" s="1317"/>
      <c r="AC49" s="1318"/>
      <c r="AD49" s="1316"/>
      <c r="AE49" s="1317"/>
      <c r="AF49" s="1317"/>
      <c r="AG49" s="1317"/>
      <c r="AH49" s="1317"/>
      <c r="AI49" s="1317"/>
      <c r="AJ49" s="1317"/>
      <c r="AK49" s="1317"/>
      <c r="AL49" s="1317"/>
      <c r="AM49" s="1317"/>
      <c r="AN49" s="1317"/>
      <c r="AO49" s="1317"/>
      <c r="AP49" s="1317"/>
      <c r="AQ49" s="1317"/>
      <c r="AR49" s="1317"/>
      <c r="AS49" s="1317"/>
      <c r="AT49" s="1317"/>
      <c r="AU49" s="1317"/>
      <c r="AV49" s="1317"/>
      <c r="AW49" s="1317"/>
      <c r="AX49" s="1317"/>
      <c r="AY49" s="1317"/>
      <c r="AZ49" s="1317"/>
      <c r="BA49" s="1317"/>
      <c r="BB49" s="1318"/>
      <c r="BC49" s="805" t="s">
        <v>476</v>
      </c>
      <c r="BE49" s="66"/>
      <c r="BF49" s="66" t="str">
        <f t="shared" si="3"/>
        <v/>
      </c>
      <c r="BG49" s="66"/>
      <c r="BH49" s="66"/>
    </row>
    <row r="50" spans="1:60" s="65" customFormat="1" ht="0" hidden="1" customHeight="1">
      <c r="A50" s="142" t="s">
        <v>278</v>
      </c>
      <c r="B50" s="142" t="s">
        <v>279</v>
      </c>
      <c r="C50" s="142" t="s">
        <v>280</v>
      </c>
      <c r="D50" s="142" t="s">
        <v>2091</v>
      </c>
      <c r="E50" s="1288"/>
      <c r="F50" s="1288"/>
      <c r="G50" s="1288"/>
      <c r="H50" s="1288"/>
      <c r="I50" s="1289" t="str">
        <f>S49&amp;".1"</f>
        <v>.1</v>
      </c>
      <c r="J50" s="142"/>
      <c r="K50" s="142"/>
      <c r="L50" s="355" t="s">
        <v>477</v>
      </c>
      <c r="M50" s="228"/>
      <c r="N50" s="228"/>
      <c r="O50" s="228"/>
      <c r="P50" s="1211">
        <v>1</v>
      </c>
      <c r="Q50" s="119"/>
      <c r="R50" s="214"/>
      <c r="S50" s="371"/>
      <c r="T50" s="803"/>
      <c r="U50" s="804"/>
      <c r="V50" s="1317"/>
      <c r="W50" s="1317"/>
      <c r="X50" s="1317"/>
      <c r="Y50" s="1317"/>
      <c r="Z50" s="1317"/>
      <c r="AA50" s="1317"/>
      <c r="AB50" s="1317"/>
      <c r="AC50" s="1318"/>
      <c r="AD50" s="1316"/>
      <c r="AE50" s="1317"/>
      <c r="AF50" s="1317"/>
      <c r="AG50" s="1317"/>
      <c r="AH50" s="1317"/>
      <c r="AI50" s="1317"/>
      <c r="AJ50" s="1317"/>
      <c r="AK50" s="1317"/>
      <c r="AL50" s="1317"/>
      <c r="AM50" s="1317"/>
      <c r="AN50" s="1317"/>
      <c r="AO50" s="1317"/>
      <c r="AP50" s="1317"/>
      <c r="AQ50" s="1317"/>
      <c r="AR50" s="1317"/>
      <c r="AS50" s="1317"/>
      <c r="AT50" s="1317"/>
      <c r="AU50" s="1317"/>
      <c r="AV50" s="1317"/>
      <c r="AW50" s="1317"/>
      <c r="AX50" s="1317"/>
      <c r="AY50" s="1317"/>
      <c r="AZ50" s="1317"/>
      <c r="BA50" s="1317"/>
      <c r="BB50" s="1318"/>
      <c r="BC50" s="805"/>
      <c r="BE50" s="66"/>
      <c r="BF50" s="66" t="str">
        <f t="shared" si="3"/>
        <v/>
      </c>
      <c r="BG50" s="66"/>
      <c r="BH50" s="66"/>
    </row>
    <row r="51" spans="1:60" s="65" customFormat="1" ht="0" hidden="1" customHeight="1">
      <c r="A51" s="142" t="s">
        <v>278</v>
      </c>
      <c r="B51" s="142" t="s">
        <v>279</v>
      </c>
      <c r="C51" s="142" t="s">
        <v>280</v>
      </c>
      <c r="D51" s="142" t="s">
        <v>2091</v>
      </c>
      <c r="E51" s="1288"/>
      <c r="F51" s="1288"/>
      <c r="G51" s="1288"/>
      <c r="H51" s="1288"/>
      <c r="I51" s="1290"/>
      <c r="J51" s="1289" t="str">
        <f>S49&amp;".1"</f>
        <v>.1</v>
      </c>
      <c r="K51" s="142"/>
      <c r="L51" s="355"/>
      <c r="M51" s="228"/>
      <c r="N51" s="228"/>
      <c r="O51" s="228"/>
      <c r="P51" s="1211"/>
      <c r="Q51" s="1211">
        <v>1</v>
      </c>
      <c r="R51" s="215"/>
      <c r="S51" s="371"/>
      <c r="T51" s="818"/>
      <c r="U51" s="804"/>
      <c r="V51" s="1317"/>
      <c r="W51" s="1317"/>
      <c r="X51" s="1317"/>
      <c r="Y51" s="1317"/>
      <c r="Z51" s="1317"/>
      <c r="AA51" s="1317"/>
      <c r="AB51" s="1317"/>
      <c r="AC51" s="1318"/>
      <c r="AD51" s="1316"/>
      <c r="AE51" s="1317"/>
      <c r="AF51" s="1317"/>
      <c r="AG51" s="1317"/>
      <c r="AH51" s="1317"/>
      <c r="AI51" s="1317"/>
      <c r="AJ51" s="1317"/>
      <c r="AK51" s="1317"/>
      <c r="AL51" s="1317"/>
      <c r="AM51" s="1317"/>
      <c r="AN51" s="1402"/>
      <c r="AO51" s="1402"/>
      <c r="AP51" s="1317"/>
      <c r="AQ51" s="1317"/>
      <c r="AR51" s="1317"/>
      <c r="AS51" s="1317"/>
      <c r="AT51" s="1317"/>
      <c r="AU51" s="1317"/>
      <c r="AV51" s="1317"/>
      <c r="AW51" s="1317"/>
      <c r="AX51" s="1317"/>
      <c r="AY51" s="1317"/>
      <c r="AZ51" s="1317"/>
      <c r="BA51" s="1317"/>
      <c r="BB51" s="1318"/>
      <c r="BC51" s="805"/>
      <c r="BE51" s="66"/>
      <c r="BF51" s="66" t="str">
        <f t="shared" si="3"/>
        <v/>
      </c>
      <c r="BG51" s="66"/>
      <c r="BH51" s="66"/>
    </row>
    <row r="52" spans="1:60" ht="11.25" customHeight="1">
      <c r="A52" s="793" t="s">
        <v>278</v>
      </c>
      <c r="B52" s="793" t="s">
        <v>279</v>
      </c>
      <c r="C52" s="793" t="s">
        <v>280</v>
      </c>
      <c r="D52" s="793" t="s">
        <v>2091</v>
      </c>
      <c r="E52" s="1288"/>
      <c r="F52" s="1288"/>
      <c r="G52" s="1288"/>
      <c r="H52" s="1288"/>
      <c r="I52" s="1290"/>
      <c r="J52" s="1290"/>
      <c r="K52" s="1289" t="str">
        <f>S48&amp;".1"</f>
        <v>...1</v>
      </c>
      <c r="L52" s="794"/>
      <c r="P52" s="1211"/>
      <c r="Q52" s="1211"/>
      <c r="R52" s="215">
        <v>1</v>
      </c>
      <c r="S52" s="1337" t="str">
        <f>$K52</f>
        <v>...1</v>
      </c>
      <c r="T52" s="1396"/>
      <c r="U52" s="170"/>
      <c r="V52" s="317"/>
      <c r="W52" s="752"/>
      <c r="X52" s="317"/>
      <c r="Y52" s="752"/>
      <c r="Z52" s="974"/>
      <c r="AA52" s="308" t="s">
        <v>59</v>
      </c>
      <c r="AB52" s="974"/>
      <c r="AC52" s="308" t="s">
        <v>59</v>
      </c>
      <c r="AD52" s="1158" t="s">
        <v>59</v>
      </c>
      <c r="AE52" s="1333"/>
      <c r="AF52" s="1171">
        <v>1</v>
      </c>
      <c r="AG52" s="1395"/>
      <c r="AH52" s="1092" t="s">
        <v>59</v>
      </c>
      <c r="AI52" s="1333"/>
      <c r="AJ52" s="1171">
        <v>1</v>
      </c>
      <c r="AK52" s="1394" t="s">
        <v>18</v>
      </c>
      <c r="AL52" s="1092" t="s">
        <v>59</v>
      </c>
      <c r="AM52" s="1146"/>
      <c r="AN52" s="1171">
        <v>1</v>
      </c>
      <c r="AO52" s="1399"/>
      <c r="AP52" s="1400" t="s">
        <v>59</v>
      </c>
      <c r="AQ52" s="181"/>
      <c r="AR52" s="280">
        <v>1</v>
      </c>
      <c r="AS52" s="116" t="s">
        <v>18</v>
      </c>
      <c r="AT52" s="317"/>
      <c r="AU52" s="752"/>
      <c r="AV52" s="317"/>
      <c r="AW52" s="752"/>
      <c r="AX52" s="974"/>
      <c r="AY52" s="308" t="s">
        <v>59</v>
      </c>
      <c r="AZ52" s="974"/>
      <c r="BA52" s="308" t="s">
        <v>59</v>
      </c>
      <c r="BB52" s="790"/>
      <c r="BC52" s="1309" t="s">
        <v>1705</v>
      </c>
      <c r="BE52" s="66"/>
      <c r="BF52" s="66" t="str">
        <f t="shared" si="3"/>
        <v/>
      </c>
      <c r="BG52" s="66"/>
      <c r="BH52" s="66"/>
    </row>
    <row r="53" spans="1:60" ht="11.25" customHeight="1">
      <c r="A53" s="793"/>
      <c r="B53" s="793"/>
      <c r="C53" s="793"/>
      <c r="D53" s="793"/>
      <c r="E53" s="1288"/>
      <c r="F53" s="1288"/>
      <c r="G53" s="1288"/>
      <c r="H53" s="1288"/>
      <c r="I53" s="1290"/>
      <c r="J53" s="1290"/>
      <c r="K53" s="1289"/>
      <c r="L53" s="794"/>
      <c r="P53" s="1211"/>
      <c r="Q53" s="1211"/>
      <c r="R53" s="215"/>
      <c r="S53" s="1338"/>
      <c r="T53" s="1397"/>
      <c r="U53" s="170"/>
      <c r="V53" s="813"/>
      <c r="W53" s="843"/>
      <c r="X53" s="813"/>
      <c r="Y53" s="843"/>
      <c r="Z53" s="813"/>
      <c r="AA53" s="813"/>
      <c r="AB53" s="813"/>
      <c r="AC53" s="813"/>
      <c r="AD53" s="1159"/>
      <c r="AE53" s="1333"/>
      <c r="AF53" s="1171"/>
      <c r="AG53" s="1395"/>
      <c r="AH53" s="1092"/>
      <c r="AI53" s="1333"/>
      <c r="AJ53" s="1171"/>
      <c r="AK53" s="1394"/>
      <c r="AL53" s="1092"/>
      <c r="AM53" s="1151"/>
      <c r="AN53" s="1171"/>
      <c r="AO53" s="1399"/>
      <c r="AP53" s="1401"/>
      <c r="AQ53" s="186"/>
      <c r="AR53" s="50"/>
      <c r="AS53" s="50" t="s">
        <v>1706</v>
      </c>
      <c r="AT53" s="813"/>
      <c r="AU53" s="843"/>
      <c r="AV53" s="813"/>
      <c r="AW53" s="843"/>
      <c r="AX53" s="813"/>
      <c r="AY53" s="813"/>
      <c r="AZ53" s="813"/>
      <c r="BA53" s="813"/>
      <c r="BB53" s="817"/>
      <c r="BC53" s="1310"/>
      <c r="BE53" s="66"/>
      <c r="BF53" s="66"/>
      <c r="BG53" s="66"/>
      <c r="BH53" s="66"/>
    </row>
    <row r="54" spans="1:60" ht="11.25" customHeight="1">
      <c r="A54" s="793" t="s">
        <v>278</v>
      </c>
      <c r="B54" s="793"/>
      <c r="C54" s="793"/>
      <c r="D54" s="793"/>
      <c r="E54" s="1288"/>
      <c r="F54" s="1288"/>
      <c r="G54" s="1288"/>
      <c r="H54" s="1288"/>
      <c r="I54" s="1290"/>
      <c r="J54" s="1290"/>
      <c r="K54" s="1289"/>
      <c r="L54" s="794"/>
      <c r="P54" s="1211"/>
      <c r="Q54" s="1211"/>
      <c r="R54" s="215"/>
      <c r="S54" s="1338"/>
      <c r="T54" s="1397"/>
      <c r="U54" s="170"/>
      <c r="V54" s="813"/>
      <c r="W54" s="843"/>
      <c r="X54" s="813"/>
      <c r="Y54" s="843"/>
      <c r="Z54" s="813"/>
      <c r="AA54" s="813"/>
      <c r="AB54" s="813"/>
      <c r="AC54" s="813"/>
      <c r="AD54" s="1159"/>
      <c r="AE54" s="1333"/>
      <c r="AF54" s="1171"/>
      <c r="AG54" s="1395"/>
      <c r="AH54" s="1092"/>
      <c r="AI54" s="1333"/>
      <c r="AJ54" s="1171"/>
      <c r="AK54" s="1394"/>
      <c r="AL54" s="1092"/>
      <c r="AM54" s="186"/>
      <c r="AN54" s="847"/>
      <c r="AO54" s="847" t="s">
        <v>2084</v>
      </c>
      <c r="AP54" s="50"/>
      <c r="AQ54" s="50"/>
      <c r="AR54" s="50"/>
      <c r="AS54" s="813"/>
      <c r="AT54" s="813"/>
      <c r="AU54" s="843"/>
      <c r="AV54" s="813"/>
      <c r="AW54" s="843"/>
      <c r="AX54" s="813"/>
      <c r="AY54" s="813"/>
      <c r="AZ54" s="813"/>
      <c r="BA54" s="813"/>
      <c r="BB54" s="817"/>
      <c r="BC54" s="1310"/>
      <c r="BE54" s="66"/>
      <c r="BF54" s="66"/>
      <c r="BG54" s="66"/>
      <c r="BH54" s="66"/>
    </row>
    <row r="55" spans="1:60" ht="11.25" customHeight="1">
      <c r="A55" s="793" t="s">
        <v>278</v>
      </c>
      <c r="B55" s="793"/>
      <c r="C55" s="793"/>
      <c r="D55" s="793"/>
      <c r="E55" s="1288"/>
      <c r="F55" s="1288"/>
      <c r="G55" s="1288"/>
      <c r="H55" s="1288"/>
      <c r="I55" s="1290"/>
      <c r="J55" s="1290"/>
      <c r="K55" s="1289"/>
      <c r="L55" s="794"/>
      <c r="P55" s="1211"/>
      <c r="Q55" s="1211"/>
      <c r="R55" s="215"/>
      <c r="S55" s="1338"/>
      <c r="T55" s="1397"/>
      <c r="U55" s="170"/>
      <c r="V55" s="813"/>
      <c r="W55" s="843"/>
      <c r="X55" s="813"/>
      <c r="Y55" s="843"/>
      <c r="Z55" s="813"/>
      <c r="AA55" s="813"/>
      <c r="AB55" s="813"/>
      <c r="AC55" s="813"/>
      <c r="AD55" s="1159"/>
      <c r="AE55" s="1333"/>
      <c r="AF55" s="1171"/>
      <c r="AG55" s="1395"/>
      <c r="AH55" s="1092"/>
      <c r="AI55" s="168"/>
      <c r="AJ55" s="107"/>
      <c r="AK55" s="183" t="s">
        <v>2085</v>
      </c>
      <c r="AL55" s="813"/>
      <c r="AM55" s="813"/>
      <c r="AN55" s="813"/>
      <c r="AO55" s="813"/>
      <c r="AP55" s="813"/>
      <c r="AQ55" s="813"/>
      <c r="AR55" s="813"/>
      <c r="AS55" s="813"/>
      <c r="AT55" s="813"/>
      <c r="AU55" s="843"/>
      <c r="AV55" s="813"/>
      <c r="AW55" s="843"/>
      <c r="AX55" s="813"/>
      <c r="AY55" s="813"/>
      <c r="AZ55" s="813"/>
      <c r="BA55" s="813"/>
      <c r="BB55" s="817"/>
      <c r="BC55" s="1310"/>
      <c r="BE55" s="66"/>
      <c r="BF55" s="66"/>
      <c r="BG55" s="66"/>
      <c r="BH55" s="66"/>
    </row>
    <row r="56" spans="1:60" ht="11.25" customHeight="1">
      <c r="A56" s="793" t="s">
        <v>278</v>
      </c>
      <c r="B56" s="793" t="s">
        <v>279</v>
      </c>
      <c r="C56" s="793" t="s">
        <v>280</v>
      </c>
      <c r="D56" s="793" t="s">
        <v>2091</v>
      </c>
      <c r="E56" s="1288"/>
      <c r="F56" s="1288"/>
      <c r="G56" s="1288"/>
      <c r="H56" s="1288"/>
      <c r="I56" s="1290"/>
      <c r="J56" s="1290"/>
      <c r="K56" s="1289"/>
      <c r="L56" s="794"/>
      <c r="P56" s="1211"/>
      <c r="Q56" s="1211"/>
      <c r="R56" s="215"/>
      <c r="S56" s="1339"/>
      <c r="T56" s="1398"/>
      <c r="U56" s="170"/>
      <c r="V56" s="813"/>
      <c r="W56" s="814" t="str">
        <f>Z52&amp;"-"&amp;AB52</f>
        <v>-</v>
      </c>
      <c r="X56" s="813"/>
      <c r="Y56" s="814" t="str">
        <f>AB52&amp;"-"&amp;AD52</f>
        <v>-да</v>
      </c>
      <c r="Z56" s="813"/>
      <c r="AA56" s="813"/>
      <c r="AB56" s="813"/>
      <c r="AC56" s="813"/>
      <c r="AD56" s="1098"/>
      <c r="AE56" s="182"/>
      <c r="AF56" s="184"/>
      <c r="AG56" s="50" t="s">
        <v>1709</v>
      </c>
      <c r="AH56" s="813"/>
      <c r="AI56" s="813"/>
      <c r="AJ56" s="813"/>
      <c r="AK56" s="813"/>
      <c r="AL56" s="813"/>
      <c r="AM56" s="813"/>
      <c r="AN56" s="813"/>
      <c r="AO56" s="813"/>
      <c r="AP56" s="813"/>
      <c r="AQ56" s="813"/>
      <c r="AR56" s="813"/>
      <c r="AS56" s="813"/>
      <c r="AT56" s="813"/>
      <c r="AU56" s="814" t="str">
        <f>AX52&amp;"-"&amp;AZ52</f>
        <v>-</v>
      </c>
      <c r="AV56" s="813"/>
      <c r="AW56" s="814" t="str">
        <f>AZ52&amp;"-"&amp;BB52</f>
        <v>-</v>
      </c>
      <c r="AX56" s="813"/>
      <c r="AY56" s="813"/>
      <c r="AZ56" s="813"/>
      <c r="BA56" s="813"/>
      <c r="BB56" s="816" t="str">
        <f>BE52&amp;"-"&amp;BG52</f>
        <v>-</v>
      </c>
      <c r="BC56" s="1310"/>
      <c r="BE56" s="66"/>
      <c r="BF56" s="66" t="str">
        <f t="shared" ref="BF56:BF63" si="4">IF(T56="","",T56)</f>
        <v/>
      </c>
      <c r="BG56" s="66"/>
      <c r="BH56" s="66"/>
    </row>
    <row r="57" spans="1:60" ht="11.25" customHeight="1">
      <c r="A57" s="793" t="s">
        <v>278</v>
      </c>
      <c r="B57" s="793" t="s">
        <v>279</v>
      </c>
      <c r="C57" s="793" t="s">
        <v>280</v>
      </c>
      <c r="D57" s="793" t="s">
        <v>2091</v>
      </c>
      <c r="E57" s="1288"/>
      <c r="F57" s="1288"/>
      <c r="G57" s="1288"/>
      <c r="H57" s="1288"/>
      <c r="I57" s="1290"/>
      <c r="J57" s="1289"/>
      <c r="K57" s="793"/>
      <c r="L57" s="794"/>
      <c r="P57" s="1211"/>
      <c r="Q57" s="1211"/>
      <c r="R57" s="214"/>
      <c r="S57" s="767"/>
      <c r="T57" s="165" t="s">
        <v>551</v>
      </c>
      <c r="U57" s="221"/>
      <c r="V57" s="221"/>
      <c r="W57" s="221"/>
      <c r="X57" s="221"/>
      <c r="Y57" s="221"/>
      <c r="Z57" s="221"/>
      <c r="AA57" s="221"/>
      <c r="AB57" s="221"/>
      <c r="AC57" s="195"/>
      <c r="AD57" s="85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311"/>
      <c r="BE57" s="66"/>
      <c r="BF57" s="66" t="str">
        <f t="shared" si="4"/>
        <v>Добавить строку</v>
      </c>
      <c r="BG57" s="66"/>
      <c r="BH57" s="66"/>
    </row>
    <row r="58" spans="1:60" s="65" customFormat="1" ht="0" hidden="1" customHeight="1">
      <c r="A58" s="142" t="s">
        <v>278</v>
      </c>
      <c r="B58" s="142" t="s">
        <v>279</v>
      </c>
      <c r="C58" s="142" t="s">
        <v>280</v>
      </c>
      <c r="D58" s="142" t="s">
        <v>2091</v>
      </c>
      <c r="E58" s="1288"/>
      <c r="F58" s="1288"/>
      <c r="G58" s="1288"/>
      <c r="H58" s="1288"/>
      <c r="I58" s="1289"/>
      <c r="J58" s="142"/>
      <c r="K58" s="142"/>
      <c r="L58" s="355"/>
      <c r="M58" s="228"/>
      <c r="N58" s="228"/>
      <c r="O58" s="228"/>
      <c r="P58" s="1211"/>
      <c r="Q58" s="119"/>
      <c r="R58" s="214"/>
      <c r="S58" s="806"/>
      <c r="T58" s="807"/>
      <c r="U58" s="808"/>
      <c r="V58" s="808"/>
      <c r="W58" s="808"/>
      <c r="X58" s="808"/>
      <c r="Y58" s="808"/>
      <c r="Z58" s="808"/>
      <c r="AA58" s="808"/>
      <c r="AB58" s="808"/>
      <c r="AC58" s="808"/>
      <c r="AD58" s="808"/>
      <c r="AE58" s="808"/>
      <c r="AF58" s="808"/>
      <c r="AG58" s="808"/>
      <c r="AH58" s="808"/>
      <c r="AI58" s="808"/>
      <c r="AJ58" s="808"/>
      <c r="AK58" s="808"/>
      <c r="AL58" s="808"/>
      <c r="AM58" s="808"/>
      <c r="AN58" s="808"/>
      <c r="AO58" s="808"/>
      <c r="AP58" s="808"/>
      <c r="AQ58" s="808"/>
      <c r="AR58" s="808"/>
      <c r="AS58" s="808"/>
      <c r="AT58" s="808"/>
      <c r="AU58" s="808"/>
      <c r="AV58" s="808"/>
      <c r="AW58" s="808"/>
      <c r="AX58" s="808"/>
      <c r="AY58" s="808"/>
      <c r="AZ58" s="808"/>
      <c r="BA58" s="808"/>
      <c r="BB58" s="808"/>
      <c r="BC58" s="809"/>
      <c r="BE58" s="66"/>
      <c r="BF58" s="66" t="str">
        <f t="shared" si="4"/>
        <v/>
      </c>
      <c r="BG58" s="66"/>
      <c r="BH58" s="66"/>
    </row>
    <row r="59" spans="1:60" s="65" customFormat="1" ht="0" hidden="1" customHeight="1">
      <c r="A59" s="142" t="s">
        <v>278</v>
      </c>
      <c r="B59" s="142" t="s">
        <v>279</v>
      </c>
      <c r="C59" s="142" t="s">
        <v>280</v>
      </c>
      <c r="D59" s="142" t="s">
        <v>2091</v>
      </c>
      <c r="E59" s="1288"/>
      <c r="F59" s="1288"/>
      <c r="G59" s="1288"/>
      <c r="H59" s="1287"/>
      <c r="I59" s="142"/>
      <c r="J59" s="142"/>
      <c r="K59" s="142"/>
      <c r="L59" s="355"/>
      <c r="M59" s="304"/>
      <c r="N59" s="304"/>
      <c r="P59" s="101"/>
      <c r="Q59" s="780"/>
      <c r="R59" s="820"/>
      <c r="S59" s="806"/>
      <c r="T59" s="807"/>
      <c r="U59" s="808"/>
      <c r="V59" s="808"/>
      <c r="W59" s="808"/>
      <c r="X59" s="808"/>
      <c r="Y59" s="808"/>
      <c r="Z59" s="808"/>
      <c r="AA59" s="808"/>
      <c r="AB59" s="808"/>
      <c r="AC59" s="808"/>
      <c r="AD59" s="808"/>
      <c r="AE59" s="808"/>
      <c r="AF59" s="808"/>
      <c r="AG59" s="808"/>
      <c r="AH59" s="808"/>
      <c r="AI59" s="808"/>
      <c r="AJ59" s="808"/>
      <c r="AK59" s="808"/>
      <c r="AL59" s="808"/>
      <c r="AM59" s="808"/>
      <c r="AN59" s="808"/>
      <c r="AO59" s="808"/>
      <c r="AP59" s="808"/>
      <c r="AQ59" s="808"/>
      <c r="AR59" s="808"/>
      <c r="AS59" s="808"/>
      <c r="AT59" s="808"/>
      <c r="AU59" s="808"/>
      <c r="AV59" s="808"/>
      <c r="AW59" s="808"/>
      <c r="AX59" s="808"/>
      <c r="AY59" s="808"/>
      <c r="AZ59" s="808"/>
      <c r="BA59" s="808"/>
      <c r="BB59" s="808"/>
      <c r="BC59" s="809"/>
      <c r="BE59" s="66"/>
      <c r="BF59" s="66" t="str">
        <f t="shared" si="4"/>
        <v/>
      </c>
      <c r="BG59" s="66"/>
      <c r="BH59" s="66"/>
    </row>
    <row r="60" spans="1:60" s="65" customFormat="1" ht="0" hidden="1" customHeight="1">
      <c r="A60" s="142" t="s">
        <v>278</v>
      </c>
      <c r="B60" s="142" t="s">
        <v>279</v>
      </c>
      <c r="C60" s="142" t="s">
        <v>280</v>
      </c>
      <c r="D60" s="142"/>
      <c r="E60" s="1288"/>
      <c r="F60" s="1288"/>
      <c r="G60" s="1287"/>
      <c r="H60" s="142"/>
      <c r="I60" s="142"/>
      <c r="J60" s="142"/>
      <c r="K60" s="142"/>
      <c r="L60" s="355"/>
      <c r="M60" s="304"/>
      <c r="N60" s="304"/>
      <c r="P60" s="101"/>
      <c r="Q60" s="780"/>
      <c r="R60" s="101"/>
      <c r="S60" s="785"/>
      <c r="T60" s="787"/>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23"/>
      <c r="BB60" s="323"/>
      <c r="BC60" s="323"/>
      <c r="BE60" s="66"/>
      <c r="BF60" s="66" t="str">
        <f t="shared" si="4"/>
        <v/>
      </c>
      <c r="BG60" s="66"/>
      <c r="BH60" s="66"/>
    </row>
    <row r="61" spans="1:60" s="65" customFormat="1" ht="0" hidden="1" customHeight="1">
      <c r="A61" s="142" t="s">
        <v>278</v>
      </c>
      <c r="B61" s="142" t="s">
        <v>279</v>
      </c>
      <c r="C61" s="142"/>
      <c r="D61" s="142"/>
      <c r="E61" s="1288"/>
      <c r="F61" s="1287"/>
      <c r="G61" s="142"/>
      <c r="H61" s="142"/>
      <c r="I61" s="142"/>
      <c r="J61" s="142"/>
      <c r="K61" s="142"/>
      <c r="L61" s="355"/>
      <c r="M61" s="784"/>
      <c r="N61" s="784"/>
      <c r="P61" s="101"/>
      <c r="Q61" s="780"/>
      <c r="R61" s="101"/>
      <c r="S61" s="785"/>
      <c r="T61" s="787" t="s">
        <v>445</v>
      </c>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c r="BA61" s="323"/>
      <c r="BB61" s="323"/>
      <c r="BC61" s="323"/>
      <c r="BE61" s="66"/>
      <c r="BF61" s="66" t="str">
        <f t="shared" si="4"/>
        <v>Добавить централизованную систему для дифференциации</v>
      </c>
      <c r="BG61" s="66"/>
      <c r="BH61" s="66"/>
    </row>
    <row r="62" spans="1:60" s="65" customFormat="1" ht="0" hidden="1" customHeight="1">
      <c r="A62" s="142" t="s">
        <v>278</v>
      </c>
      <c r="B62" s="142"/>
      <c r="C62" s="142"/>
      <c r="D62" s="142"/>
      <c r="E62" s="1287"/>
      <c r="F62" s="142"/>
      <c r="G62" s="142"/>
      <c r="H62" s="142"/>
      <c r="I62" s="142"/>
      <c r="J62" s="142"/>
      <c r="K62" s="142"/>
      <c r="L62" s="355"/>
      <c r="M62" s="784"/>
      <c r="N62" s="784"/>
      <c r="P62" s="101"/>
      <c r="Q62" s="780"/>
      <c r="R62" s="101"/>
      <c r="S62" s="785"/>
      <c r="T62" s="787" t="s">
        <v>446</v>
      </c>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4"/>
      <c r="N63" s="784"/>
      <c r="P63" s="101"/>
      <c r="Q63" s="780"/>
      <c r="R63" s="101"/>
      <c r="S63" s="785"/>
      <c r="T63" s="787" t="s">
        <v>447</v>
      </c>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E63" s="66"/>
      <c r="BF63" s="66" t="str">
        <f t="shared" si="4"/>
        <v>Добавить наименование тарифа</v>
      </c>
      <c r="BG63" s="66"/>
      <c r="BH63" s="66"/>
    </row>
    <row r="64" spans="1:60" ht="11.25" hidden="1" customHeight="1">
      <c r="M64" s="60"/>
      <c r="N64" s="60"/>
      <c r="O64" s="60"/>
      <c r="P64" s="60"/>
      <c r="Q64" s="60"/>
      <c r="R64" s="9"/>
      <c r="S64" s="9"/>
      <c r="BD64" s="9"/>
      <c r="BE64" s="9"/>
      <c r="BF64" s="9"/>
      <c r="BG64" s="9"/>
      <c r="BH64" s="9"/>
    </row>
    <row r="65" spans="15:55" ht="14.25" hidden="1" customHeight="1">
      <c r="O65" s="60"/>
      <c r="S65" s="204" t="s">
        <v>519</v>
      </c>
      <c r="T65" s="1286" t="s">
        <v>1720</v>
      </c>
      <c r="U65" s="1286"/>
      <c r="V65" s="1286"/>
      <c r="W65" s="1286"/>
      <c r="X65" s="1286"/>
      <c r="Y65" s="1286"/>
      <c r="Z65" s="1286"/>
      <c r="AA65" s="1286"/>
      <c r="AB65" s="1286"/>
      <c r="AC65" s="1286"/>
      <c r="AD65" s="1286"/>
      <c r="AE65" s="1286"/>
      <c r="AF65" s="1286"/>
      <c r="AG65" s="1286"/>
      <c r="AH65" s="1286"/>
      <c r="AI65" s="1286"/>
      <c r="AJ65" s="1286"/>
      <c r="AK65" s="1286"/>
      <c r="AL65" s="1286"/>
      <c r="AM65" s="1286"/>
      <c r="AN65" s="1286"/>
      <c r="AO65" s="1286"/>
      <c r="AP65" s="1286"/>
      <c r="AQ65" s="1286"/>
      <c r="AR65" s="1286"/>
      <c r="AS65" s="1286"/>
      <c r="AT65" s="1286"/>
      <c r="AU65" s="1286"/>
      <c r="AV65" s="1286"/>
      <c r="AW65" s="1286"/>
      <c r="AX65" s="1286"/>
      <c r="AY65" s="1286"/>
      <c r="AZ65" s="1286"/>
      <c r="BA65" s="1286"/>
      <c r="BB65" s="1286"/>
      <c r="BC65" s="1286"/>
    </row>
    <row r="66" spans="15:55" ht="14.25" hidden="1"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4.25" hidden="1" customHeight="1">
      <c r="O67" s="60"/>
      <c r="S67" s="204" t="s">
        <v>519</v>
      </c>
      <c r="T67" s="1286" t="s">
        <v>1721</v>
      </c>
      <c r="U67" s="1286"/>
      <c r="V67" s="1286"/>
      <c r="W67" s="1286"/>
      <c r="X67" s="1286"/>
      <c r="Y67" s="1286"/>
      <c r="Z67" s="1286"/>
      <c r="AA67" s="1286"/>
      <c r="AB67" s="1286"/>
      <c r="AC67" s="1286"/>
      <c r="AD67" s="1286"/>
      <c r="AE67" s="1286"/>
      <c r="AF67" s="1286"/>
      <c r="AG67" s="1286"/>
      <c r="AH67" s="1286"/>
      <c r="AI67" s="1286"/>
      <c r="AJ67" s="1286"/>
      <c r="AK67" s="1286"/>
      <c r="AL67" s="1286"/>
      <c r="AM67" s="1286"/>
      <c r="AN67" s="1286"/>
      <c r="AO67" s="1286"/>
      <c r="AP67" s="1286"/>
      <c r="AQ67" s="1286"/>
      <c r="AR67" s="1286"/>
      <c r="AS67" s="1286"/>
      <c r="AT67" s="1286"/>
      <c r="AU67" s="1286"/>
      <c r="AV67" s="1286"/>
      <c r="AW67" s="1286"/>
      <c r="AX67" s="1286"/>
      <c r="AY67" s="1286"/>
      <c r="AZ67" s="1286"/>
      <c r="BA67" s="1286"/>
      <c r="BB67" s="1286"/>
      <c r="BC67" s="1286"/>
    </row>
    <row r="68" spans="15:55" ht="14.25" customHeight="1">
      <c r="O68" s="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35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35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35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35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35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35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35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35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35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C5939-9F48-E2B5-8449-28988874F0C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20944-8E0C-0613-BBDD-1D6AECAFF94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D35AF-ECC3-EFEB-88B6-886DAFED120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F5206-AEC5-0761-C9B6-EED8097F9DB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3AC84-2727-9A82-718D-CDD0F337078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A6691-4739-F099-FEBE-EA938864765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10A0C-78C2-B999-C7CD-8B0BFE0F0512}">
  <sheetPr>
    <tabColor rgb="FFEAEBEE"/>
    <pageSetUpPr fitToPage="1"/>
  </sheetPr>
  <dimension ref="A1:L15"/>
  <sheetViews>
    <sheetView showGridLines="0" topLeftCell="C4" zoomScale="90" workbookViewId="0"/>
  </sheetViews>
  <sheetFormatPr defaultColWidth="9.140625" defaultRowHeight="14.25" customHeight="1"/>
  <cols>
    <col min="1" max="1" width="9.140625" style="44" hidden="1"/>
    <col min="2" max="2" width="9.140625" style="2" hidden="1"/>
    <col min="3" max="3" width="3.7109375" style="45" customWidth="1"/>
    <col min="4" max="4" width="7" style="2" customWidth="1"/>
    <col min="5" max="5" width="23.140625" style="2" customWidth="1"/>
    <col min="6" max="6" width="16" style="2" customWidth="1"/>
    <col min="7" max="7" width="14.85546875" style="2" customWidth="1"/>
    <col min="8" max="8" width="47.85546875" style="2" customWidth="1"/>
    <col min="9" max="9" width="115.7109375" style="2" customWidth="1"/>
    <col min="10" max="10" width="3.7109375" style="2" customWidth="1"/>
    <col min="11" max="12" width="9.140625" style="2"/>
  </cols>
  <sheetData>
    <row r="1" spans="1:12" ht="14.25" hidden="1" customHeight="1"/>
    <row r="2" spans="1:12" ht="14.25" hidden="1" customHeight="1"/>
    <row r="3" spans="1:12" ht="14.25" hidden="1" customHeight="1"/>
    <row r="4" spans="1:12" ht="3" customHeight="1"/>
    <row r="5" spans="1:12" s="9" customFormat="1" ht="30" customHeight="1">
      <c r="A5" s="6"/>
      <c r="C5" s="21"/>
      <c r="D5" s="1067" t="s">
        <v>2092</v>
      </c>
      <c r="E5" s="1067"/>
      <c r="F5" s="1067"/>
      <c r="G5" s="1067"/>
      <c r="H5" s="1067"/>
      <c r="I5" s="153"/>
    </row>
    <row r="6" spans="1:12" ht="3" hidden="1" customHeight="1">
      <c r="D6" s="5"/>
      <c r="E6" s="5"/>
      <c r="F6" s="5"/>
      <c r="G6" s="5"/>
      <c r="H6" s="5"/>
      <c r="I6" s="5"/>
    </row>
    <row r="7" spans="1:12" s="44" customFormat="1" ht="14.25" customHeight="1">
      <c r="B7" s="2"/>
      <c r="C7" s="45"/>
      <c r="D7" s="46"/>
      <c r="E7" s="46"/>
      <c r="F7" s="46"/>
      <c r="G7" s="46"/>
      <c r="H7" s="442"/>
      <c r="I7" s="46"/>
      <c r="J7" s="47"/>
    </row>
    <row r="8" spans="1:12" ht="14.25" customHeight="1">
      <c r="D8" s="1176" t="s">
        <v>302</v>
      </c>
      <c r="E8" s="1176"/>
      <c r="F8" s="1176"/>
      <c r="G8" s="1176"/>
      <c r="H8" s="1176"/>
      <c r="I8" s="1176" t="s">
        <v>303</v>
      </c>
    </row>
    <row r="9" spans="1:12" ht="27.75" customHeight="1">
      <c r="D9" s="1176" t="s">
        <v>88</v>
      </c>
      <c r="E9" s="1176" t="s">
        <v>2093</v>
      </c>
      <c r="F9" s="1176"/>
      <c r="G9" s="1176"/>
      <c r="H9" s="1176"/>
      <c r="I9" s="1176"/>
    </row>
    <row r="10" spans="1:12" ht="22.5" customHeight="1">
      <c r="D10" s="1176"/>
      <c r="E10" s="34" t="s">
        <v>2094</v>
      </c>
      <c r="F10" s="34" t="s">
        <v>2095</v>
      </c>
      <c r="G10" s="34" t="s">
        <v>2096</v>
      </c>
      <c r="H10" s="34" t="s">
        <v>394</v>
      </c>
      <c r="I10" s="1176"/>
    </row>
    <row r="11" spans="1:12" ht="12" hidden="1" customHeight="1">
      <c r="D11" s="20" t="s">
        <v>119</v>
      </c>
      <c r="E11" s="20" t="s">
        <v>91</v>
      </c>
      <c r="F11" s="20" t="s">
        <v>120</v>
      </c>
      <c r="G11" s="20" t="s">
        <v>92</v>
      </c>
      <c r="H11" s="20" t="s">
        <v>93</v>
      </c>
      <c r="I11" s="20" t="s">
        <v>121</v>
      </c>
    </row>
    <row r="12" spans="1:12" s="2" customFormat="1" ht="24.75" customHeight="1">
      <c r="A12" s="59" t="s">
        <v>90</v>
      </c>
      <c r="B12" s="2" t="s">
        <v>18</v>
      </c>
      <c r="C12" s="48"/>
      <c r="D12" s="41" t="s">
        <v>119</v>
      </c>
      <c r="E12" s="226"/>
      <c r="F12" s="226"/>
      <c r="G12" s="974" t="s">
        <v>18</v>
      </c>
      <c r="H12" s="114"/>
      <c r="I12" s="1135" t="s">
        <v>2097</v>
      </c>
      <c r="K12" s="157"/>
      <c r="L12" s="101"/>
    </row>
    <row r="13" spans="1:12" ht="15" customHeight="1">
      <c r="A13" s="2"/>
      <c r="C13" s="2"/>
      <c r="D13" s="38"/>
      <c r="E13" s="50" t="s">
        <v>551</v>
      </c>
      <c r="F13" s="49"/>
      <c r="G13" s="49"/>
      <c r="H13" s="105"/>
      <c r="I13" s="1137"/>
    </row>
    <row r="14" spans="1:12" ht="3" customHeight="1">
      <c r="A14" s="2"/>
      <c r="C14" s="2"/>
    </row>
    <row r="15" spans="1:12" ht="27.75" customHeight="1">
      <c r="E15" s="1450" t="s">
        <v>2098</v>
      </c>
      <c r="F15" s="1450"/>
      <c r="G15" s="1450"/>
      <c r="H15" s="145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C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3C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C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DBBB3-B1C9-8E9F-7A32-564F94A6E9D6}">
  <sheetPr>
    <tabColor rgb="FFCCCCFF"/>
    <pageSetUpPr fitToPage="1"/>
  </sheetPr>
  <dimension ref="A1:I15"/>
  <sheetViews>
    <sheetView showGridLines="0" topLeftCell="C6" zoomScale="90" workbookViewId="0"/>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9" width="9.140625" style="4"/>
  </cols>
  <sheetData>
    <row r="1" spans="3:9" ht="14.25" hidden="1" customHeight="1"/>
    <row r="2" spans="3:9" ht="14.25" hidden="1" customHeight="1"/>
    <row r="3" spans="3:9" ht="14.25" hidden="1" customHeight="1"/>
    <row r="4" spans="3:9" ht="14.25" hidden="1" customHeight="1"/>
    <row r="5" spans="3:9" ht="14.25" hidden="1" customHeight="1"/>
    <row r="6" spans="3:9" ht="3" customHeight="1">
      <c r="C6" s="23"/>
      <c r="D6" s="5"/>
      <c r="E6" s="5"/>
    </row>
    <row r="7" spans="3:9" ht="22.5" customHeight="1">
      <c r="C7" s="23"/>
      <c r="D7" s="1451" t="s">
        <v>2099</v>
      </c>
      <c r="E7" s="1452"/>
      <c r="F7" s="154"/>
    </row>
    <row r="8" spans="3:9" ht="3" customHeight="1">
      <c r="C8" s="23"/>
      <c r="D8" s="5"/>
      <c r="E8" s="5"/>
    </row>
    <row r="9" spans="3:9" ht="15.75" customHeight="1">
      <c r="C9" s="23"/>
      <c r="D9" s="34" t="s">
        <v>88</v>
      </c>
      <c r="E9" s="39" t="s">
        <v>2100</v>
      </c>
    </row>
    <row r="10" spans="3:9" ht="12" customHeight="1">
      <c r="C10" s="23"/>
      <c r="D10" s="20" t="s">
        <v>119</v>
      </c>
      <c r="E10" s="20" t="s">
        <v>103</v>
      </c>
    </row>
    <row r="11" spans="3:9" ht="11.25" hidden="1" customHeight="1">
      <c r="C11" s="23"/>
      <c r="D11" s="63">
        <v>0</v>
      </c>
      <c r="E11" s="151"/>
    </row>
    <row r="12" spans="3:9" ht="15" customHeight="1">
      <c r="C12" s="21"/>
      <c r="D12" s="42">
        <v>1</v>
      </c>
      <c r="E12" s="226"/>
    </row>
    <row r="13" spans="3:9" ht="12" customHeight="1">
      <c r="C13" s="23"/>
      <c r="D13" s="152"/>
      <c r="E13" s="36" t="s">
        <v>2101</v>
      </c>
    </row>
    <row r="14" spans="3:9" ht="3" customHeight="1"/>
    <row r="15" spans="3:9" ht="22.5" customHeight="1">
      <c r="C15" s="54"/>
      <c r="D15" s="1450" t="s">
        <v>2102</v>
      </c>
      <c r="E15" s="1450"/>
      <c r="F15" s="55"/>
      <c r="G15" s="55"/>
      <c r="H15" s="55"/>
      <c r="I15" s="5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D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F6B89-41B5-E6D7-1151-C5525A23C36A}">
  <dimension ref="A1:I24"/>
  <sheetViews>
    <sheetView showGridLines="0" topLeftCell="C4" zoomScale="90" workbookViewId="0"/>
  </sheetViews>
  <sheetFormatPr defaultColWidth="9.140625" defaultRowHeight="11.25" customHeight="1"/>
  <cols>
    <col min="1" max="2" width="15" style="300" hidden="1" customWidth="1"/>
    <col min="3" max="3" width="3.7109375" style="266" customWidth="1"/>
    <col min="4" max="4" width="6.85546875" style="267" customWidth="1"/>
    <col min="5" max="5" width="52.28515625" style="266" customWidth="1"/>
    <col min="6" max="6" width="48.85546875" style="266" customWidth="1"/>
    <col min="7" max="7" width="93.42578125" style="266" customWidth="1"/>
    <col min="8" max="8" width="9.140625" style="266"/>
    <col min="9" max="9" width="65" style="266" customWidth="1"/>
  </cols>
  <sheetData>
    <row r="1" spans="1:9" ht="11.25" hidden="1" customHeight="1">
      <c r="A1" s="300" t="s">
        <v>301</v>
      </c>
    </row>
    <row r="2" spans="1:9" ht="22.5" hidden="1" customHeight="1">
      <c r="A2" s="301"/>
      <c r="B2" s="301"/>
      <c r="C2" s="8"/>
      <c r="D2" s="859"/>
      <c r="E2" s="226"/>
      <c r="F2" s="529"/>
      <c r="H2" s="282"/>
    </row>
    <row r="3" spans="1:9" ht="11.25" hidden="1" customHeight="1"/>
    <row r="4" spans="1:9" ht="11.25" customHeight="1">
      <c r="A4" s="886"/>
      <c r="B4" s="886"/>
    </row>
    <row r="5" spans="1:9" ht="36.75" customHeight="1">
      <c r="D5" s="107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076"/>
      <c r="F5" s="1077"/>
      <c r="I5" s="420"/>
    </row>
    <row r="6" spans="1:9" ht="17.25" customHeight="1">
      <c r="D6" s="1178" t="str">
        <f>IF(region_name=0,"Не определено",region_name)</f>
        <v>Ханты-Мансийский автономный округ</v>
      </c>
      <c r="E6" s="1178"/>
      <c r="F6" s="1178"/>
      <c r="I6" s="420"/>
    </row>
    <row r="7" spans="1:9" s="284" customFormat="1" ht="11.25" customHeight="1">
      <c r="A7" s="300"/>
      <c r="B7" s="300"/>
      <c r="D7" s="419"/>
      <c r="E7" s="419"/>
      <c r="F7" s="442"/>
      <c r="G7" s="419"/>
    </row>
    <row r="8" spans="1:9" ht="11.25" hidden="1" customHeight="1">
      <c r="A8" s="301"/>
      <c r="B8" s="301"/>
      <c r="C8" s="8"/>
      <c r="D8" s="12"/>
      <c r="E8" s="1174"/>
      <c r="F8" s="1174"/>
    </row>
    <row r="9" spans="1:9" ht="11.25" customHeight="1">
      <c r="A9" s="301"/>
      <c r="B9" s="301"/>
      <c r="C9" s="8"/>
      <c r="D9" s="1170" t="s">
        <v>302</v>
      </c>
      <c r="E9" s="1171"/>
      <c r="F9" s="1171"/>
      <c r="G9" s="1175" t="s">
        <v>303</v>
      </c>
    </row>
    <row r="10" spans="1:9" ht="11.25" customHeight="1">
      <c r="A10" s="301"/>
      <c r="B10" s="301"/>
      <c r="C10" s="8"/>
      <c r="D10" s="280" t="s">
        <v>88</v>
      </c>
      <c r="E10" s="265" t="s">
        <v>304</v>
      </c>
      <c r="F10" s="265" t="s">
        <v>305</v>
      </c>
      <c r="G10" s="1176"/>
    </row>
    <row r="11" spans="1:9" ht="12" customHeight="1">
      <c r="A11" s="301"/>
      <c r="B11" s="301"/>
      <c r="C11" s="8"/>
      <c r="D11" s="273"/>
      <c r="E11" s="273"/>
      <c r="F11" s="273"/>
      <c r="G11" s="273"/>
    </row>
    <row r="12" spans="1:9" ht="22.5" customHeight="1">
      <c r="A12" s="301"/>
      <c r="B12" s="301"/>
      <c r="C12" s="8"/>
      <c r="D12" s="859">
        <v>1</v>
      </c>
      <c r="E12" s="281" t="s">
        <v>2103</v>
      </c>
      <c r="F12" s="1038" t="str">
        <f>IF(org="","",org)</f>
        <v>ООО "Концессионная Коммунальная Компания"</v>
      </c>
      <c r="G12" s="281" t="s">
        <v>2104</v>
      </c>
      <c r="H12" s="865"/>
    </row>
    <row r="13" spans="1:9" ht="18.75" customHeight="1">
      <c r="A13" s="301"/>
      <c r="B13" s="301"/>
      <c r="C13" s="8"/>
      <c r="D13" s="859">
        <v>2</v>
      </c>
      <c r="E13" s="725" t="s">
        <v>2105</v>
      </c>
      <c r="F13" s="39" t="s">
        <v>308</v>
      </c>
      <c r="G13" s="281"/>
      <c r="H13" s="865"/>
    </row>
    <row r="14" spans="1:9" ht="18.75" customHeight="1">
      <c r="A14" s="301"/>
      <c r="B14" s="301"/>
      <c r="C14" s="8"/>
      <c r="D14" s="860" t="s">
        <v>465</v>
      </c>
      <c r="E14" s="333" t="s">
        <v>2106</v>
      </c>
      <c r="F14" s="226"/>
      <c r="G14" s="64" t="s">
        <v>2107</v>
      </c>
      <c r="H14" s="865"/>
    </row>
    <row r="15" spans="1:9" ht="18.75" customHeight="1">
      <c r="A15" s="301"/>
      <c r="B15" s="301"/>
      <c r="C15" s="8"/>
      <c r="D15" s="860" t="s">
        <v>309</v>
      </c>
      <c r="E15" s="333" t="s">
        <v>2108</v>
      </c>
      <c r="F15" s="226"/>
      <c r="G15" s="64" t="s">
        <v>2109</v>
      </c>
      <c r="H15" s="865"/>
    </row>
    <row r="16" spans="1:9" ht="36.75" customHeight="1">
      <c r="A16" s="301"/>
      <c r="B16" s="301"/>
      <c r="C16" s="8"/>
      <c r="D16" s="860" t="s">
        <v>312</v>
      </c>
      <c r="E16" s="178" t="s">
        <v>2110</v>
      </c>
      <c r="F16" s="35"/>
      <c r="G16" s="281" t="s">
        <v>2111</v>
      </c>
      <c r="H16" s="865"/>
    </row>
    <row r="17" spans="1:9" ht="45" customHeight="1">
      <c r="A17" s="301"/>
      <c r="B17" s="301"/>
      <c r="C17" s="8"/>
      <c r="D17" s="859">
        <v>3</v>
      </c>
      <c r="E17" s="725" t="s">
        <v>2112</v>
      </c>
      <c r="F17" s="226"/>
      <c r="G17" s="281" t="s">
        <v>2113</v>
      </c>
      <c r="H17" s="865"/>
    </row>
    <row r="18" spans="1:9" ht="45" customHeight="1">
      <c r="A18" s="841">
        <v>1</v>
      </c>
      <c r="B18" s="301"/>
      <c r="C18" s="842"/>
      <c r="D18" s="859" t="s">
        <v>91</v>
      </c>
      <c r="E18" s="725" t="s">
        <v>2114</v>
      </c>
      <c r="F18" s="226"/>
      <c r="G18" s="281" t="s">
        <v>2113</v>
      </c>
      <c r="H18" s="865"/>
      <c r="I18" s="502"/>
    </row>
    <row r="19" spans="1:9" ht="22.5" customHeight="1">
      <c r="A19" s="301"/>
      <c r="B19" s="301"/>
      <c r="C19" s="8"/>
      <c r="D19" s="859" t="s">
        <v>120</v>
      </c>
      <c r="E19" s="725" t="s">
        <v>2115</v>
      </c>
      <c r="F19" s="39" t="s">
        <v>308</v>
      </c>
      <c r="G19" s="1453" t="s">
        <v>2116</v>
      </c>
      <c r="H19" s="282"/>
    </row>
    <row r="20" spans="1:9" s="863" customFormat="1" ht="5.25" hidden="1" customHeight="1">
      <c r="A20" s="301"/>
      <c r="B20" s="301"/>
      <c r="C20" s="862"/>
      <c r="D20" s="861" t="s">
        <v>1647</v>
      </c>
      <c r="E20" s="608"/>
      <c r="F20" s="326"/>
      <c r="G20" s="1454"/>
    </row>
    <row r="21" spans="1:9" ht="15" customHeight="1">
      <c r="A21" s="301"/>
      <c r="B21" s="301"/>
      <c r="C21" s="8"/>
      <c r="D21" s="275"/>
      <c r="E21" s="107" t="s">
        <v>343</v>
      </c>
      <c r="F21" s="277"/>
      <c r="G21" s="1455"/>
      <c r="H21" s="865"/>
    </row>
    <row r="22" spans="1:9" s="300" customFormat="1" ht="24.75" customHeight="1">
      <c r="A22" s="301"/>
      <c r="B22" s="301"/>
      <c r="C22" s="301"/>
      <c r="D22" s="859" t="s">
        <v>92</v>
      </c>
      <c r="E22" s="281" t="s">
        <v>2117</v>
      </c>
      <c r="F22" s="226"/>
      <c r="G22" s="281" t="s">
        <v>2118</v>
      </c>
      <c r="H22" s="864"/>
    </row>
    <row r="23" spans="1:9" s="300" customFormat="1" ht="18.75" customHeight="1">
      <c r="A23" s="301"/>
      <c r="B23" s="301"/>
      <c r="C23" s="301"/>
      <c r="D23" s="859" t="s">
        <v>93</v>
      </c>
      <c r="E23" s="725" t="s">
        <v>2119</v>
      </c>
      <c r="F23" s="35"/>
      <c r="G23" s="281" t="s">
        <v>2120</v>
      </c>
      <c r="H23" s="864"/>
    </row>
    <row r="24" spans="1:9" ht="11.25" customHeight="1">
      <c r="A24" s="301"/>
      <c r="B24" s="301"/>
      <c r="C24" s="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3E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21ECD-72C4-3761-DBEC-B4F0EF6D012E}">
  <dimension ref="A1:IT23"/>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46.7109375" style="9" customWidth="1"/>
    <col min="7" max="8" width="16.7109375" style="9" customWidth="1"/>
    <col min="9" max="9" width="35.28515625" style="9" customWidth="1"/>
    <col min="10" max="10" width="89.5703125" style="9" customWidth="1"/>
    <col min="11" max="11" width="3.7109375" style="66" customWidth="1"/>
    <col min="12" max="14" width="9.140625" style="66"/>
    <col min="15" max="15" width="25.7109375" style="66" customWidth="1"/>
    <col min="16" max="16" width="14.42578125" style="66" customWidth="1"/>
    <col min="17" max="20" width="9.140625" style="123"/>
    <col min="21" max="254" width="9.140625" style="9"/>
  </cols>
  <sheetData>
    <row r="1" spans="1:254" ht="14.25" hidden="1" customHeight="1"/>
    <row r="2" spans="1:254" ht="22.5" hidden="1" customHeight="1">
      <c r="A2" s="77"/>
      <c r="B2" s="60">
        <v>1</v>
      </c>
      <c r="C2" s="60"/>
      <c r="D2" s="475"/>
      <c r="E2" s="39"/>
      <c r="F2" s="110"/>
      <c r="G2" s="110"/>
      <c r="H2" s="110"/>
      <c r="I2" s="870"/>
      <c r="J2" s="125"/>
      <c r="K2" s="867" t="e">
        <f ca="1">MERGEVALUE(F2)</f>
        <v>#NAME?</v>
      </c>
      <c r="L2" s="65"/>
      <c r="M2" s="65"/>
      <c r="N2" s="66" t="str">
        <f t="array" ref="N2">IF(ISERROR(MATCH(MID(O2,1,250),MID(note_ter,1,250),0)),"n","y")</f>
        <v>n</v>
      </c>
      <c r="O2" s="65"/>
      <c r="P2" s="66" t="str">
        <f>G2&amp;"("&amp;J2&amp;")"</f>
        <v>()</v>
      </c>
      <c r="Q2" s="60"/>
      <c r="R2" s="60"/>
      <c r="S2" s="248"/>
      <c r="T2" s="60"/>
      <c r="U2" s="60"/>
      <c r="V2" s="60"/>
      <c r="W2" s="59"/>
      <c r="X2" s="59"/>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59"/>
      <c r="BU2" s="59"/>
      <c r="BV2" s="59"/>
      <c r="BW2" s="59"/>
      <c r="BX2" s="59"/>
      <c r="BY2" s="59"/>
      <c r="BZ2" s="59"/>
      <c r="CA2" s="59"/>
      <c r="CB2" s="59"/>
      <c r="CC2" s="59"/>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s="65" customFormat="1" ht="5.25" hidden="1" customHeight="1">
      <c r="A3" s="209"/>
      <c r="D3" s="119"/>
      <c r="F3" s="142" t="s">
        <v>83</v>
      </c>
      <c r="G3" s="119" t="s">
        <v>84</v>
      </c>
      <c r="H3" s="119"/>
      <c r="I3" s="119"/>
      <c r="J3" s="124" t="s">
        <v>85</v>
      </c>
      <c r="K3" s="142" t="s">
        <v>83</v>
      </c>
      <c r="L3" s="142"/>
      <c r="M3" s="142"/>
      <c r="N3" s="142"/>
      <c r="O3" s="142"/>
      <c r="P3" s="142"/>
      <c r="Q3" s="142"/>
      <c r="R3" s="142"/>
      <c r="S3" s="142"/>
      <c r="T3" s="142"/>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row>
    <row r="4" spans="1:254" s="43" customFormat="1" ht="14.25" customHeight="1">
      <c r="A4" s="9"/>
      <c r="B4" s="60"/>
      <c r="C4" s="9"/>
      <c r="D4" s="74"/>
      <c r="E4" s="9"/>
      <c r="F4" s="9"/>
      <c r="G4" s="9"/>
      <c r="H4" s="9"/>
      <c r="I4" s="9"/>
      <c r="J4" s="75"/>
      <c r="K4" s="142"/>
      <c r="L4" s="66"/>
      <c r="M4" s="66"/>
      <c r="N4" s="66"/>
      <c r="O4" s="66"/>
      <c r="P4" s="66"/>
      <c r="Q4" s="123"/>
      <c r="R4" s="123"/>
      <c r="S4" s="123"/>
      <c r="T4" s="123"/>
    </row>
    <row r="5" spans="1:254" s="43" customFormat="1" ht="25.5" customHeight="1">
      <c r="A5" s="9"/>
      <c r="B5" s="60"/>
      <c r="C5" s="9"/>
      <c r="D5" s="74"/>
      <c r="E5" s="106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067"/>
      <c r="G5" s="1067"/>
      <c r="H5" s="1067"/>
      <c r="I5" s="1067"/>
      <c r="J5" s="1067"/>
      <c r="K5" s="142"/>
      <c r="L5" s="66"/>
      <c r="M5" s="66"/>
      <c r="N5" s="66"/>
      <c r="O5" s="66"/>
      <c r="P5" s="66"/>
      <c r="Q5" s="123"/>
      <c r="R5" s="123"/>
      <c r="S5" s="123"/>
      <c r="T5" s="123"/>
    </row>
    <row r="6" spans="1:254" s="43" customFormat="1" ht="14.25" customHeight="1">
      <c r="A6" s="9"/>
      <c r="B6" s="60"/>
      <c r="C6" s="9"/>
      <c r="D6" s="74"/>
      <c r="E6" s="9"/>
      <c r="F6" s="76"/>
      <c r="G6" s="76"/>
      <c r="H6" s="76"/>
      <c r="I6" s="76"/>
      <c r="J6" s="77"/>
      <c r="K6" s="66"/>
      <c r="L6" s="66"/>
      <c r="M6" s="66"/>
      <c r="N6" s="66"/>
      <c r="O6" s="66"/>
      <c r="P6" s="66"/>
      <c r="Q6" s="123"/>
      <c r="R6" s="123"/>
      <c r="S6" s="123"/>
      <c r="T6" s="123"/>
    </row>
    <row r="7" spans="1:254" s="43" customFormat="1" ht="14.25" customHeight="1">
      <c r="A7" s="9"/>
      <c r="B7" s="60"/>
      <c r="C7" s="9"/>
      <c r="D7" s="74"/>
      <c r="E7" s="1063" t="s">
        <v>302</v>
      </c>
      <c r="F7" s="1068"/>
      <c r="G7" s="1068"/>
      <c r="H7" s="1068"/>
      <c r="I7" s="1068"/>
      <c r="J7" s="1456" t="s">
        <v>303</v>
      </c>
      <c r="K7" s="66"/>
      <c r="L7" s="66"/>
      <c r="M7" s="66"/>
      <c r="N7" s="66"/>
      <c r="O7" s="66"/>
      <c r="P7" s="66"/>
      <c r="Q7" s="123"/>
      <c r="R7" s="123"/>
      <c r="S7" s="123"/>
      <c r="T7" s="123"/>
    </row>
    <row r="8" spans="1:254" s="43" customFormat="1" ht="20.25" customHeight="1">
      <c r="A8" s="9"/>
      <c r="B8" s="60"/>
      <c r="C8" s="9"/>
      <c r="D8" s="74"/>
      <c r="E8" s="885" t="s">
        <v>88</v>
      </c>
      <c r="F8" s="872" t="s">
        <v>2121</v>
      </c>
      <c r="G8" s="872" t="s">
        <v>49</v>
      </c>
      <c r="H8" s="872" t="s">
        <v>51</v>
      </c>
      <c r="I8" s="872" t="s">
        <v>2122</v>
      </c>
      <c r="J8" s="1457"/>
      <c r="K8" s="66"/>
      <c r="L8" s="66"/>
      <c r="M8" s="66"/>
      <c r="N8" s="66"/>
      <c r="O8" s="66"/>
      <c r="P8" s="66"/>
      <c r="Q8" s="123"/>
      <c r="R8" s="123"/>
      <c r="S8" s="123"/>
      <c r="T8" s="123"/>
    </row>
    <row r="9" spans="1:254" ht="22.5" customHeight="1">
      <c r="A9" s="1066"/>
      <c r="B9" s="60">
        <v>1</v>
      </c>
      <c r="C9" s="60"/>
      <c r="D9" s="475"/>
      <c r="E9" s="39">
        <v>1</v>
      </c>
      <c r="F9" s="884"/>
      <c r="G9" s="110"/>
      <c r="H9" s="110"/>
      <c r="I9" s="870"/>
      <c r="J9" s="1458" t="s">
        <v>2123</v>
      </c>
      <c r="K9" s="867" t="e">
        <f ca="1">MERGEVALUE(F9)</f>
        <v>#NAME?</v>
      </c>
      <c r="L9" s="65"/>
      <c r="M9" s="65"/>
      <c r="N9" s="66" t="str">
        <f t="array" ref="N9">IF(ISERROR(MATCH(MID(O9,1,250),MID(note_ter,1,250),0)),"n","y")</f>
        <v>n</v>
      </c>
      <c r="O9" s="65"/>
      <c r="P9" s="6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60"/>
      <c r="R9" s="60"/>
      <c r="S9" s="248"/>
      <c r="T9" s="60"/>
      <c r="U9" s="60"/>
      <c r="V9" s="60"/>
      <c r="W9" s="59"/>
      <c r="X9" s="59"/>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59"/>
      <c r="BU9" s="59"/>
      <c r="BV9" s="59"/>
      <c r="BW9" s="59"/>
      <c r="BX9" s="59"/>
      <c r="BY9" s="59"/>
      <c r="BZ9" s="59"/>
      <c r="CA9" s="59"/>
      <c r="CB9" s="59"/>
      <c r="CC9" s="5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15" customHeight="1">
      <c r="A10" s="1066"/>
      <c r="C10" s="247"/>
      <c r="D10" s="475"/>
      <c r="E10" s="873"/>
      <c r="F10" s="847" t="s">
        <v>2124</v>
      </c>
      <c r="G10" s="874"/>
      <c r="H10" s="874"/>
      <c r="I10" s="874"/>
      <c r="J10" s="1459"/>
      <c r="K10" s="868"/>
      <c r="L10" s="65"/>
      <c r="M10" s="65"/>
      <c r="N10" s="65"/>
      <c r="P10" s="65"/>
      <c r="Q10" s="60"/>
      <c r="R10" s="60"/>
      <c r="S10" s="248"/>
      <c r="T10" s="60"/>
      <c r="U10" s="60"/>
      <c r="V10" s="60"/>
      <c r="W10" s="59"/>
      <c r="X10" s="59"/>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59"/>
      <c r="BU10" s="59"/>
      <c r="BV10" s="59"/>
      <c r="BW10" s="59"/>
      <c r="BX10" s="59"/>
      <c r="BY10" s="59"/>
      <c r="BZ10" s="59"/>
      <c r="CA10" s="59"/>
      <c r="CB10" s="59"/>
      <c r="CC10" s="59"/>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s="43" customFormat="1" ht="21" customHeight="1">
      <c r="A11" s="9"/>
      <c r="B11" s="60"/>
      <c r="C11" s="9"/>
      <c r="D11" s="74"/>
      <c r="E11" s="88"/>
      <c r="F11" s="88"/>
      <c r="G11" s="88"/>
      <c r="H11" s="88"/>
      <c r="I11" s="88"/>
      <c r="J11" s="88"/>
      <c r="K11" s="66"/>
      <c r="L11" s="66"/>
      <c r="M11" s="66"/>
      <c r="N11" s="66"/>
      <c r="O11" s="66"/>
      <c r="P11" s="66"/>
      <c r="Q11" s="123"/>
      <c r="R11" s="123"/>
      <c r="S11" s="123"/>
      <c r="T11" s="123"/>
    </row>
    <row r="12" spans="1:254" s="43" customFormat="1" ht="14.25" customHeight="1">
      <c r="A12" s="9"/>
      <c r="B12" s="60"/>
      <c r="C12" s="9"/>
      <c r="D12" s="74"/>
      <c r="E12" s="9"/>
      <c r="F12" s="9"/>
      <c r="G12" s="9"/>
      <c r="H12" s="9"/>
      <c r="I12" s="9"/>
      <c r="J12" s="9"/>
      <c r="K12" s="66"/>
      <c r="L12" s="66"/>
      <c r="M12" s="66"/>
      <c r="N12" s="66"/>
      <c r="O12" s="66"/>
      <c r="P12" s="66"/>
      <c r="Q12" s="123"/>
      <c r="R12" s="123"/>
      <c r="S12" s="123"/>
      <c r="T12" s="123"/>
    </row>
    <row r="13" spans="1:254" s="43" customFormat="1" ht="0.75" customHeight="1">
      <c r="A13" s="9"/>
      <c r="B13" s="60"/>
      <c r="C13" s="9"/>
      <c r="D13" s="74"/>
      <c r="E13" s="9"/>
      <c r="F13" s="9"/>
      <c r="G13" s="9"/>
      <c r="H13" s="9"/>
      <c r="I13" s="9"/>
      <c r="J13" s="9"/>
      <c r="K13" s="66"/>
      <c r="L13" s="66"/>
      <c r="M13" s="66"/>
      <c r="N13" s="66"/>
      <c r="O13" s="66"/>
      <c r="P13" s="66"/>
      <c r="Q13" s="123"/>
      <c r="R13" s="123"/>
      <c r="S13" s="123"/>
      <c r="T13" s="123"/>
    </row>
    <row r="14" spans="1:254" s="89" customFormat="1" ht="10.5" customHeight="1">
      <c r="B14" s="488"/>
      <c r="D14" s="90"/>
      <c r="K14" s="66"/>
      <c r="L14" s="66"/>
      <c r="M14" s="66"/>
      <c r="N14" s="66"/>
      <c r="O14" s="66"/>
      <c r="P14" s="66"/>
      <c r="Q14" s="123"/>
      <c r="R14" s="123"/>
      <c r="S14" s="123"/>
      <c r="T14" s="123"/>
    </row>
    <row r="15" spans="1:254" s="89" customFormat="1" ht="10.5" customHeight="1">
      <c r="B15" s="488"/>
      <c r="D15" s="90"/>
      <c r="K15" s="66"/>
      <c r="L15" s="66"/>
      <c r="M15" s="66"/>
      <c r="N15" s="66"/>
      <c r="O15" s="66"/>
      <c r="P15" s="66"/>
      <c r="Q15" s="123"/>
      <c r="R15" s="123"/>
      <c r="S15" s="123"/>
      <c r="T15" s="123"/>
    </row>
    <row r="19" spans="7:13" ht="14.25" customHeight="1">
      <c r="G19"/>
      <c r="H19"/>
      <c r="I19"/>
    </row>
    <row r="23" spans="7:13" ht="14.25" customHeight="1">
      <c r="K23" s="9"/>
      <c r="L23" s="9"/>
      <c r="M23" s="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F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24864-BF61-EF09-FE5E-7155AB42A18A}">
  <dimension ref="A1:IV14"/>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27.28515625" style="9" customWidth="1"/>
    <col min="7" max="7" width="16.7109375" style="9" customWidth="1"/>
    <col min="8" max="8" width="12.7109375" style="9" customWidth="1"/>
    <col min="9" max="9" width="32.140625" style="9" customWidth="1"/>
    <col min="10" max="11" width="41.85546875" style="9" customWidth="1"/>
    <col min="12" max="12" width="89.5703125" style="9" customWidth="1"/>
    <col min="13" max="13" width="3.7109375" style="66" customWidth="1"/>
    <col min="14" max="16" width="9.140625" style="66"/>
    <col min="17" max="17" width="25.7109375" style="66" customWidth="1"/>
    <col min="18" max="18" width="14.42578125" style="66" customWidth="1"/>
    <col min="19" max="22" width="9.140625" style="123"/>
    <col min="23" max="256" width="9.140625" style="9"/>
  </cols>
  <sheetData>
    <row r="1" spans="1:256" ht="14.25" hidden="1" customHeight="1"/>
    <row r="2" spans="1:256" ht="22.5" hidden="1" customHeight="1">
      <c r="A2" s="77"/>
      <c r="B2" s="60">
        <v>1</v>
      </c>
      <c r="C2" s="60"/>
      <c r="D2" s="475"/>
      <c r="E2" s="39"/>
      <c r="F2" s="871" t="str">
        <f>IF(ROIV_INFO_NAME="","",ROIV_INFO_NAME)</f>
        <v>ООО "Концессионная Коммунальная Компания"</v>
      </c>
      <c r="G2" s="972" t="s">
        <v>18</v>
      </c>
      <c r="H2" s="870"/>
      <c r="I2" s="870"/>
      <c r="J2" s="114"/>
      <c r="K2" s="114"/>
      <c r="L2" s="125"/>
      <c r="M2" s="867" t="e">
        <f ca="1">MERGEVALUE(F2)</f>
        <v>#NAME?</v>
      </c>
      <c r="N2" s="65"/>
      <c r="O2" s="65"/>
      <c r="P2" s="66" t="str">
        <f t="array" ref="P2">IF(ISERROR(MATCH(MID(Q2,1,250),MID(note_ter,1,250),0)),"n","y")</f>
        <v>n</v>
      </c>
      <c r="Q2" s="65"/>
      <c r="R2" s="66" t="str">
        <f>G2&amp;"("&amp;L2&amp;")"</f>
        <v>()</v>
      </c>
      <c r="S2" s="60"/>
      <c r="T2" s="60"/>
      <c r="U2" s="248"/>
      <c r="V2" s="60"/>
      <c r="W2" s="60"/>
      <c r="X2" s="60"/>
      <c r="Y2" s="59"/>
      <c r="Z2" s="59"/>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59"/>
      <c r="BW2" s="59"/>
      <c r="BX2" s="59"/>
      <c r="BY2" s="59"/>
      <c r="BZ2" s="59"/>
      <c r="CA2" s="59"/>
      <c r="CB2" s="59"/>
      <c r="CC2" s="59"/>
      <c r="CD2" s="59"/>
      <c r="CE2" s="59"/>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65" customFormat="1" ht="5.25" hidden="1" customHeight="1">
      <c r="A3" s="209"/>
      <c r="D3" s="119"/>
      <c r="F3" s="142" t="s">
        <v>83</v>
      </c>
      <c r="G3" s="975" t="s">
        <v>84</v>
      </c>
      <c r="H3" s="119"/>
      <c r="I3" s="119"/>
      <c r="J3" s="119"/>
      <c r="K3" s="119"/>
      <c r="L3" s="124" t="s">
        <v>85</v>
      </c>
      <c r="M3" s="142" t="s">
        <v>83</v>
      </c>
      <c r="N3" s="142"/>
      <c r="O3" s="142"/>
      <c r="P3" s="142"/>
      <c r="Q3" s="142"/>
      <c r="R3" s="142"/>
      <c r="S3" s="142"/>
      <c r="T3" s="142"/>
      <c r="U3" s="142"/>
      <c r="V3" s="142"/>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row>
    <row r="4" spans="1:256" s="43" customFormat="1" ht="14.25" customHeight="1">
      <c r="A4" s="9"/>
      <c r="B4" s="60"/>
      <c r="C4" s="9"/>
      <c r="D4" s="74"/>
      <c r="E4" s="9"/>
      <c r="F4" s="9"/>
      <c r="G4" s="9"/>
      <c r="H4" s="9"/>
      <c r="I4" s="9"/>
      <c r="J4" s="9"/>
      <c r="K4" s="9"/>
      <c r="L4" s="75"/>
      <c r="M4" s="142"/>
      <c r="N4" s="66"/>
      <c r="O4" s="66"/>
      <c r="P4" s="66"/>
      <c r="Q4" s="66"/>
      <c r="R4" s="66"/>
      <c r="S4" s="123"/>
      <c r="T4" s="123"/>
      <c r="U4" s="123"/>
      <c r="V4" s="123"/>
    </row>
    <row r="5" spans="1:256" s="43" customFormat="1" ht="25.5" customHeight="1">
      <c r="A5" s="9"/>
      <c r="B5" s="60"/>
      <c r="C5" s="9"/>
      <c r="D5" s="74"/>
      <c r="E5" s="106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067"/>
      <c r="G5" s="1067"/>
      <c r="H5" s="1067"/>
      <c r="I5" s="1067"/>
      <c r="J5" s="1067"/>
      <c r="K5" s="1067"/>
      <c r="L5" s="9"/>
      <c r="M5" s="142"/>
      <c r="N5" s="66"/>
      <c r="O5" s="66"/>
      <c r="P5" s="66"/>
      <c r="Q5" s="66"/>
      <c r="R5" s="66"/>
      <c r="S5" s="123"/>
      <c r="T5" s="123"/>
      <c r="U5" s="123"/>
      <c r="V5" s="123"/>
    </row>
    <row r="6" spans="1:256" s="43" customFormat="1" ht="14.25" customHeight="1">
      <c r="A6" s="9"/>
      <c r="B6" s="60"/>
      <c r="C6" s="9"/>
      <c r="D6" s="74"/>
      <c r="E6" s="9"/>
      <c r="F6" s="76"/>
      <c r="G6" s="76"/>
      <c r="H6" s="76"/>
      <c r="I6" s="76"/>
      <c r="J6" s="76"/>
      <c r="K6" s="76"/>
      <c r="L6" s="77"/>
      <c r="M6" s="66"/>
      <c r="N6" s="66"/>
      <c r="O6" s="66"/>
      <c r="P6" s="66"/>
      <c r="Q6" s="66"/>
      <c r="R6" s="66"/>
      <c r="S6" s="123"/>
      <c r="T6" s="123"/>
      <c r="U6" s="123"/>
      <c r="V6" s="123"/>
    </row>
    <row r="7" spans="1:256" s="43" customFormat="1" ht="14.25" customHeight="1">
      <c r="A7" s="9"/>
      <c r="B7" s="60"/>
      <c r="C7" s="9"/>
      <c r="D7" s="74"/>
      <c r="E7" s="1063" t="s">
        <v>302</v>
      </c>
      <c r="F7" s="1068"/>
      <c r="G7" s="1068"/>
      <c r="H7" s="1068"/>
      <c r="I7" s="1068"/>
      <c r="J7" s="1068"/>
      <c r="K7" s="1068"/>
      <c r="L7" s="1456" t="s">
        <v>303</v>
      </c>
      <c r="M7" s="66"/>
      <c r="N7" s="66"/>
      <c r="O7" s="66"/>
      <c r="P7" s="66"/>
      <c r="Q7" s="66"/>
      <c r="R7" s="66"/>
      <c r="S7" s="123"/>
      <c r="T7" s="123"/>
      <c r="U7" s="123"/>
      <c r="V7" s="123"/>
    </row>
    <row r="8" spans="1:256" s="43" customFormat="1" ht="47.25" customHeight="1">
      <c r="A8" s="9"/>
      <c r="B8" s="60"/>
      <c r="C8" s="9"/>
      <c r="D8" s="74"/>
      <c r="E8" s="1461" t="s">
        <v>88</v>
      </c>
      <c r="F8" s="1461" t="s">
        <v>2103</v>
      </c>
      <c r="G8" s="146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1464"/>
      <c r="I8" s="1465"/>
      <c r="J8" s="146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146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1460"/>
      <c r="M8" s="66"/>
      <c r="N8" s="66"/>
      <c r="O8" s="66"/>
      <c r="P8" s="66"/>
      <c r="Q8" s="66"/>
      <c r="R8" s="66"/>
      <c r="S8" s="123"/>
      <c r="T8" s="123"/>
      <c r="U8" s="123"/>
      <c r="V8" s="123"/>
    </row>
    <row r="9" spans="1:256" s="43" customFormat="1" ht="56.25" customHeight="1">
      <c r="A9" s="9"/>
      <c r="B9" s="60"/>
      <c r="C9" s="9"/>
      <c r="D9" s="74"/>
      <c r="E9" s="1462"/>
      <c r="F9" s="1462"/>
      <c r="G9" s="869" t="s">
        <v>2125</v>
      </c>
      <c r="H9" s="869" t="s">
        <v>2126</v>
      </c>
      <c r="I9" s="869" t="s">
        <v>2127</v>
      </c>
      <c r="J9" s="1462"/>
      <c r="K9" s="1462"/>
      <c r="L9" s="1457"/>
      <c r="M9" s="66"/>
      <c r="N9" s="66"/>
      <c r="O9" s="66"/>
      <c r="P9" s="66"/>
      <c r="Q9" s="66"/>
      <c r="R9" s="66"/>
      <c r="S9" s="123"/>
      <c r="T9" s="123"/>
      <c r="U9" s="123"/>
      <c r="V9" s="123"/>
    </row>
    <row r="10" spans="1:256" ht="22.5" customHeight="1">
      <c r="A10" s="1066"/>
      <c r="B10" s="60">
        <v>1</v>
      </c>
      <c r="C10" s="60"/>
      <c r="D10" s="474"/>
      <c r="E10" s="459">
        <v>1</v>
      </c>
      <c r="F10" s="871" t="str">
        <f>IF(ROIV_INFO_NAME="","",ROIV_INFO_NAME)</f>
        <v>ООО "Концессионная Коммунальная Компания"</v>
      </c>
      <c r="G10" s="972" t="s">
        <v>18</v>
      </c>
      <c r="H10" s="866"/>
      <c r="I10" s="866"/>
      <c r="J10" s="114"/>
      <c r="K10" s="114"/>
      <c r="L10" s="1458" t="s">
        <v>2128</v>
      </c>
      <c r="M10" s="867" t="e">
        <f ca="1">MERGEVALUE(F10)</f>
        <v>#NAME?</v>
      </c>
      <c r="N10" s="65"/>
      <c r="O10" s="65"/>
      <c r="P10" s="66" t="str">
        <f t="array" ref="P10">IF(ISERROR(MATCH(MID(Q10,1,250),MID(note_ter,1,250),0)),"n","y")</f>
        <v>n</v>
      </c>
      <c r="Q10" s="65"/>
      <c r="R10" s="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60"/>
      <c r="T10" s="60"/>
      <c r="U10" s="248"/>
      <c r="V10" s="60"/>
      <c r="W10" s="60"/>
      <c r="X10" s="60"/>
      <c r="Y10" s="59"/>
      <c r="Z10" s="59"/>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59"/>
      <c r="BW10" s="59"/>
      <c r="BX10" s="59"/>
      <c r="BY10" s="59"/>
      <c r="BZ10" s="59"/>
      <c r="CA10" s="59"/>
      <c r="CB10" s="59"/>
      <c r="CC10" s="59"/>
      <c r="CD10" s="59"/>
      <c r="CE10" s="59"/>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066"/>
      <c r="C11" s="247"/>
      <c r="D11" s="475"/>
      <c r="E11" s="249"/>
      <c r="F11" s="50" t="s">
        <v>2129</v>
      </c>
      <c r="G11" s="94"/>
      <c r="H11" s="94"/>
      <c r="I11" s="94"/>
      <c r="J11" s="94"/>
      <c r="K11" s="94"/>
      <c r="L11" s="1459"/>
      <c r="M11" s="868"/>
      <c r="N11" s="65"/>
      <c r="O11" s="65"/>
      <c r="P11" s="65"/>
      <c r="R11" s="65"/>
      <c r="S11" s="60"/>
      <c r="T11" s="60"/>
      <c r="U11" s="248"/>
      <c r="V11" s="60"/>
      <c r="W11" s="60"/>
      <c r="X11" s="60"/>
      <c r="Y11" s="59"/>
      <c r="Z11" s="59"/>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59"/>
      <c r="BW11" s="59"/>
      <c r="BX11" s="59"/>
      <c r="BY11" s="59"/>
      <c r="BZ11" s="59"/>
      <c r="CA11" s="59"/>
      <c r="CB11" s="59"/>
      <c r="CC11" s="59"/>
      <c r="CD11" s="59"/>
      <c r="CE11" s="59"/>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3" customFormat="1" ht="21" customHeight="1">
      <c r="A12" s="9"/>
      <c r="B12" s="60"/>
      <c r="C12" s="9"/>
      <c r="D12" s="74"/>
      <c r="E12" s="88"/>
      <c r="F12" s="88"/>
      <c r="G12" s="88"/>
      <c r="H12" s="88"/>
      <c r="I12" s="88"/>
      <c r="J12" s="88"/>
      <c r="K12" s="88"/>
      <c r="L12" s="88"/>
      <c r="M12" s="66"/>
      <c r="N12" s="66"/>
      <c r="O12" s="66"/>
      <c r="P12" s="66"/>
      <c r="Q12" s="66"/>
      <c r="R12" s="66"/>
      <c r="S12" s="123"/>
      <c r="T12" s="123"/>
      <c r="U12" s="123"/>
      <c r="V12" s="123"/>
    </row>
    <row r="13" spans="1:256" s="43" customFormat="1" ht="14.25" customHeight="1">
      <c r="A13" s="9"/>
      <c r="B13" s="60"/>
      <c r="C13" s="9"/>
      <c r="D13" s="74"/>
      <c r="E13" s="9"/>
      <c r="F13" s="9"/>
      <c r="G13" s="9"/>
      <c r="H13" s="9"/>
      <c r="I13" s="9"/>
      <c r="J13" s="9"/>
      <c r="K13" s="9"/>
      <c r="L13" s="9"/>
      <c r="M13" s="66"/>
      <c r="N13" s="66"/>
      <c r="O13" s="66"/>
      <c r="P13" s="66"/>
      <c r="Q13" s="66"/>
      <c r="R13" s="66"/>
      <c r="S13" s="123"/>
      <c r="T13" s="123"/>
      <c r="U13" s="123"/>
      <c r="V13" s="123"/>
    </row>
    <row r="14" spans="1:256" s="43" customFormat="1" ht="0.75" customHeight="1">
      <c r="A14" s="9"/>
      <c r="B14" s="60"/>
      <c r="C14" s="9"/>
      <c r="D14" s="74"/>
      <c r="E14" s="9"/>
      <c r="F14" s="9"/>
      <c r="G14" s="9"/>
      <c r="H14" s="9"/>
      <c r="I14" s="9"/>
      <c r="J14" s="9"/>
      <c r="K14" s="9"/>
      <c r="L14" s="9"/>
      <c r="M14" s="66"/>
      <c r="N14" s="66"/>
      <c r="O14" s="66"/>
      <c r="P14" s="66"/>
      <c r="Q14" s="66"/>
      <c r="R14" s="66"/>
      <c r="S14" s="123"/>
      <c r="T14" s="123"/>
      <c r="U14" s="123"/>
      <c r="V14" s="123"/>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40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4000-000001000000}"/>
    <dataValidation type="textLength" allowBlank="1" showInputMessage="1" showErrorMessage="1" sqref="H2:I3 H10:I10" xr:uid="{00000000-0002-0000-40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82392-0E1B-C982-A983-D146F142B306}">
  <dimension ref="A1:IY16"/>
  <sheetViews>
    <sheetView showGridLines="0" topLeftCell="D5"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10.140625" style="9" customWidth="1"/>
    <col min="6" max="6" width="6.28515625" style="9" customWidth="1"/>
    <col min="7" max="7" width="27.28515625" style="9" customWidth="1"/>
    <col min="8" max="8" width="29.28515625" style="9" customWidth="1"/>
    <col min="9" max="9" width="25.42578125" style="9" customWidth="1"/>
    <col min="10" max="10" width="5.5703125" style="9" customWidth="1"/>
    <col min="11" max="11" width="6.5703125" style="9" customWidth="1"/>
    <col min="12" max="12" width="41.85546875" style="9" customWidth="1"/>
    <col min="13" max="13" width="42.42578125" style="9" customWidth="1"/>
    <col min="14" max="14" width="41.5703125" style="9" customWidth="1"/>
    <col min="15" max="15" width="64.140625" style="9" customWidth="1"/>
    <col min="16" max="16" width="3.7109375" style="66" customWidth="1"/>
    <col min="17" max="19" width="9.140625" style="66"/>
    <col min="20" max="20" width="25.7109375" style="66" customWidth="1"/>
    <col min="21" max="21" width="14.42578125" style="66" customWidth="1"/>
    <col min="22" max="25" width="9.140625" style="123"/>
    <col min="26" max="259" width="9.140625" style="9"/>
  </cols>
  <sheetData>
    <row r="1" spans="1:259" ht="14.25" hidden="1" customHeight="1"/>
    <row r="2" spans="1:259" ht="22.5" hidden="1" customHeight="1">
      <c r="A2" s="209"/>
      <c r="B2" s="60">
        <v>1</v>
      </c>
      <c r="C2" s="60"/>
      <c r="D2" s="475"/>
      <c r="E2" s="1082"/>
      <c r="F2" s="1082">
        <v>1</v>
      </c>
      <c r="G2" s="1364" t="str">
        <f>IF(region_name="","",region_name)</f>
        <v>Ханты-Мансийский автономный округ</v>
      </c>
      <c r="H2" s="1466"/>
      <c r="I2" s="1467"/>
      <c r="J2" s="281"/>
      <c r="K2" s="39">
        <v>1</v>
      </c>
      <c r="L2" s="114"/>
      <c r="M2" s="114"/>
      <c r="N2" s="114"/>
      <c r="O2" s="114"/>
      <c r="P2" s="867" t="e">
        <f ca="1">MERGEVALUE(G2)</f>
        <v>#NAME?</v>
      </c>
      <c r="Q2" s="65"/>
      <c r="R2" s="65"/>
      <c r="S2" s="66" t="str">
        <f t="array" ref="S2">IF(ISERROR(MATCH(MID(T2,1,250),MID(note_ter,1,250),0)),"n","y")</f>
        <v>n</v>
      </c>
      <c r="T2" s="65"/>
      <c r="V2" s="60"/>
      <c r="W2" s="60"/>
      <c r="X2" s="248"/>
      <c r="Y2" s="60"/>
      <c r="Z2" s="60"/>
      <c r="AA2" s="60"/>
      <c r="AB2" s="59"/>
      <c r="AC2" s="59"/>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59"/>
      <c r="BZ2" s="59"/>
      <c r="CA2" s="59"/>
      <c r="CB2" s="59"/>
      <c r="CC2" s="59"/>
      <c r="CD2" s="59"/>
      <c r="CE2" s="59"/>
      <c r="CF2" s="59"/>
      <c r="CG2" s="59"/>
      <c r="CH2" s="59"/>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row>
    <row r="3" spans="1:259" ht="22.5" hidden="1" customHeight="1">
      <c r="A3" s="77"/>
      <c r="C3" s="60"/>
      <c r="D3" s="475"/>
      <c r="E3" s="1082"/>
      <c r="F3" s="1082"/>
      <c r="G3" s="1364"/>
      <c r="H3" s="1466"/>
      <c r="I3" s="1258"/>
      <c r="J3" s="876"/>
      <c r="K3" s="847"/>
      <c r="L3" s="847" t="s">
        <v>2130</v>
      </c>
      <c r="M3" s="879"/>
      <c r="N3" s="879"/>
      <c r="O3" s="880"/>
      <c r="P3" s="867"/>
      <c r="Q3" s="65"/>
      <c r="R3" s="65"/>
      <c r="T3" s="65"/>
      <c r="V3" s="60"/>
      <c r="W3" s="60"/>
      <c r="X3" s="248"/>
      <c r="Y3" s="60"/>
      <c r="Z3" s="60"/>
      <c r="AA3" s="60"/>
      <c r="AB3" s="59"/>
      <c r="AC3" s="59"/>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59"/>
      <c r="BZ3" s="59"/>
      <c r="CA3" s="59"/>
      <c r="CB3" s="59"/>
      <c r="CC3" s="59"/>
      <c r="CD3" s="59"/>
      <c r="CE3" s="59"/>
      <c r="CF3" s="59"/>
      <c r="CG3" s="59"/>
      <c r="CH3" s="59"/>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row>
    <row r="4" spans="1:259" s="65" customFormat="1" ht="5.25" hidden="1" customHeight="1">
      <c r="A4" s="209"/>
      <c r="D4" s="119"/>
      <c r="G4" s="142" t="s">
        <v>83</v>
      </c>
      <c r="H4" s="119" t="s">
        <v>84</v>
      </c>
      <c r="I4" s="119"/>
      <c r="J4" s="881"/>
      <c r="K4" s="881"/>
      <c r="L4" s="881"/>
      <c r="M4" s="881"/>
      <c r="N4" s="881"/>
      <c r="O4" s="881"/>
      <c r="P4" s="142" t="s">
        <v>83</v>
      </c>
      <c r="Q4" s="142"/>
      <c r="R4" s="142"/>
      <c r="S4" s="142"/>
      <c r="T4" s="142"/>
      <c r="U4" s="142"/>
      <c r="V4" s="142"/>
      <c r="W4" s="142"/>
      <c r="X4" s="142"/>
      <c r="Y4" s="142"/>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row>
    <row r="5" spans="1:259" s="43" customFormat="1" ht="14.25" customHeight="1">
      <c r="A5" s="9"/>
      <c r="B5" s="60"/>
      <c r="C5" s="9"/>
      <c r="D5" s="74"/>
      <c r="E5" s="9"/>
      <c r="F5" s="9"/>
      <c r="G5" s="9"/>
      <c r="H5" s="9"/>
      <c r="I5" s="9"/>
      <c r="J5" s="9"/>
      <c r="K5" s="9"/>
      <c r="L5" s="9"/>
      <c r="M5" s="9"/>
      <c r="N5" s="9"/>
      <c r="O5" s="9"/>
      <c r="P5" s="142"/>
      <c r="Q5" s="66"/>
      <c r="R5" s="66"/>
      <c r="S5" s="66"/>
      <c r="T5" s="66"/>
      <c r="U5" s="66"/>
      <c r="V5" s="123"/>
      <c r="W5" s="123"/>
      <c r="X5" s="123"/>
      <c r="Y5" s="123"/>
    </row>
    <row r="6" spans="1:259" s="43" customFormat="1" ht="25.5" customHeight="1">
      <c r="A6" s="9"/>
      <c r="B6" s="60"/>
      <c r="C6" s="9"/>
      <c r="D6" s="74"/>
      <c r="E6" s="1067" t="s">
        <v>2131</v>
      </c>
      <c r="F6" s="1067"/>
      <c r="G6" s="1067"/>
      <c r="H6" s="1067"/>
      <c r="I6" s="1067"/>
      <c r="J6" s="1067"/>
      <c r="K6" s="1067"/>
      <c r="L6" s="1067"/>
      <c r="M6" s="1067"/>
      <c r="N6" s="1067"/>
      <c r="O6" s="1067"/>
      <c r="P6" s="142"/>
      <c r="Q6" s="66"/>
      <c r="R6" s="66"/>
      <c r="S6" s="66"/>
      <c r="T6" s="66"/>
      <c r="U6" s="66"/>
      <c r="V6" s="123"/>
      <c r="W6" s="123"/>
      <c r="X6" s="123"/>
      <c r="Y6" s="123"/>
    </row>
    <row r="7" spans="1:259" s="43" customFormat="1" ht="14.25" customHeight="1">
      <c r="A7" s="9"/>
      <c r="B7" s="60"/>
      <c r="C7" s="9"/>
      <c r="D7" s="74"/>
      <c r="E7" s="9"/>
      <c r="F7" s="9"/>
      <c r="G7" s="76"/>
      <c r="H7" s="76"/>
      <c r="I7" s="76"/>
      <c r="J7" s="76"/>
      <c r="K7" s="76"/>
      <c r="L7" s="76"/>
      <c r="M7" s="76"/>
      <c r="N7" s="76"/>
      <c r="O7" s="76"/>
      <c r="P7" s="66"/>
      <c r="Q7" s="66"/>
      <c r="R7" s="66"/>
      <c r="S7" s="66"/>
      <c r="T7" s="66"/>
      <c r="U7" s="66"/>
      <c r="V7" s="123"/>
      <c r="W7" s="123"/>
      <c r="X7" s="123"/>
      <c r="Y7" s="123"/>
    </row>
    <row r="8" spans="1:259" s="883" customFormat="1" ht="42.75" customHeight="1">
      <c r="A8" s="56"/>
      <c r="B8" s="312"/>
      <c r="C8" s="56"/>
      <c r="D8" s="74"/>
      <c r="E8" s="887" t="s">
        <v>303</v>
      </c>
      <c r="F8" s="887"/>
      <c r="G8" s="887" t="s">
        <v>307</v>
      </c>
      <c r="H8" s="887" t="s">
        <v>2132</v>
      </c>
      <c r="I8" s="887" t="s">
        <v>311</v>
      </c>
      <c r="J8" s="1471"/>
      <c r="K8" s="1472"/>
      <c r="L8" s="1473"/>
      <c r="M8" s="887" t="s">
        <v>2133</v>
      </c>
      <c r="N8" s="887" t="s">
        <v>2134</v>
      </c>
      <c r="O8" s="887" t="s">
        <v>2135</v>
      </c>
      <c r="P8" s="355"/>
      <c r="Q8" s="355"/>
      <c r="R8" s="355"/>
      <c r="S8" s="355"/>
      <c r="T8" s="355"/>
      <c r="U8" s="355"/>
      <c r="V8" s="882"/>
      <c r="W8" s="882"/>
      <c r="X8" s="882"/>
      <c r="Y8" s="882"/>
    </row>
    <row r="9" spans="1:259" s="43" customFormat="1" ht="47.25" customHeight="1">
      <c r="A9" s="9"/>
      <c r="B9" s="60"/>
      <c r="C9" s="9"/>
      <c r="D9" s="74"/>
      <c r="E9" s="1200" t="s">
        <v>302</v>
      </c>
      <c r="F9" s="1462" t="s">
        <v>88</v>
      </c>
      <c r="G9" s="1462" t="s">
        <v>306</v>
      </c>
      <c r="H9" s="1462" t="s">
        <v>2136</v>
      </c>
      <c r="I9" s="1462"/>
      <c r="J9" s="1462" t="s">
        <v>2137</v>
      </c>
      <c r="K9" s="1462"/>
      <c r="L9" s="1462"/>
      <c r="M9" s="1462" t="s">
        <v>2138</v>
      </c>
      <c r="N9" s="1462" t="s">
        <v>2139</v>
      </c>
      <c r="O9" s="146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66"/>
      <c r="Q9" s="66"/>
      <c r="R9" s="66"/>
      <c r="S9" s="66"/>
      <c r="T9" s="66"/>
      <c r="U9" s="66"/>
      <c r="V9" s="123"/>
      <c r="W9" s="123"/>
      <c r="X9" s="123"/>
      <c r="Y9" s="123"/>
    </row>
    <row r="10" spans="1:259" s="43" customFormat="1" ht="63.75" customHeight="1">
      <c r="A10" s="9"/>
      <c r="B10" s="60"/>
      <c r="C10" s="9"/>
      <c r="D10" s="74"/>
      <c r="E10" s="1082"/>
      <c r="F10" s="1470"/>
      <c r="G10" s="1470"/>
      <c r="H10" s="80" t="s">
        <v>2140</v>
      </c>
      <c r="I10" s="80" t="s">
        <v>310</v>
      </c>
      <c r="J10" s="1461"/>
      <c r="K10" s="1461"/>
      <c r="L10" s="1470"/>
      <c r="M10" s="1470"/>
      <c r="N10" s="1470"/>
      <c r="O10" s="1470"/>
      <c r="P10" s="66"/>
      <c r="Q10" s="66"/>
      <c r="R10" s="66"/>
      <c r="S10" s="66"/>
      <c r="T10" s="66"/>
      <c r="U10" s="66"/>
      <c r="V10" s="123"/>
      <c r="W10" s="123"/>
      <c r="X10" s="123"/>
      <c r="Y10" s="123"/>
    </row>
    <row r="11" spans="1:259" ht="22.5" customHeight="1">
      <c r="A11" s="1066">
        <v>26379339</v>
      </c>
      <c r="B11" s="60">
        <v>1</v>
      </c>
      <c r="C11" s="60"/>
      <c r="D11" s="475"/>
      <c r="E11" s="1200"/>
      <c r="F11" s="1200">
        <v>1</v>
      </c>
      <c r="G11" s="1468" t="str">
        <f>IF(region_name="","",region_name)</f>
        <v>Ханты-Мансийский автономный округ</v>
      </c>
      <c r="H11" s="1469"/>
      <c r="I11" s="1474"/>
      <c r="J11" s="281"/>
      <c r="K11" s="39">
        <v>1</v>
      </c>
      <c r="L11" s="888"/>
      <c r="M11" s="878"/>
      <c r="N11" s="878"/>
      <c r="O11" s="877"/>
      <c r="P11" s="867" t="e">
        <f ca="1">MERGEVALUE(G11)</f>
        <v>#NAME?</v>
      </c>
      <c r="Q11" s="65"/>
      <c r="R11" s="65"/>
      <c r="S11" s="66" t="str">
        <f t="array" ref="S11">IF(ISERROR(MATCH(MID(T11,1,250),MID(note_ter,1,250),0)),"n","y")</f>
        <v>n</v>
      </c>
      <c r="T11" s="65"/>
      <c r="V11" s="60"/>
      <c r="W11" s="60"/>
      <c r="X11" s="248"/>
      <c r="Y11" s="60"/>
      <c r="Z11" s="60"/>
      <c r="AA11" s="60"/>
      <c r="AB11" s="59"/>
      <c r="AC11" s="59"/>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59"/>
      <c r="BZ11" s="59"/>
      <c r="CA11" s="59"/>
      <c r="CB11" s="59"/>
      <c r="CC11" s="59"/>
      <c r="CD11" s="59"/>
      <c r="CE11" s="59"/>
      <c r="CF11" s="59"/>
      <c r="CG11" s="59"/>
      <c r="CH11" s="59"/>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row>
    <row r="12" spans="1:259" ht="22.5" customHeight="1">
      <c r="A12" s="1066"/>
      <c r="C12" s="60"/>
      <c r="D12" s="475"/>
      <c r="E12" s="1200"/>
      <c r="F12" s="1200"/>
      <c r="G12" s="1468"/>
      <c r="H12" s="1469"/>
      <c r="I12" s="1264"/>
      <c r="J12" s="876"/>
      <c r="K12" s="847"/>
      <c r="L12" s="847" t="s">
        <v>2130</v>
      </c>
      <c r="M12" s="879"/>
      <c r="N12" s="879"/>
      <c r="O12" s="880"/>
      <c r="P12" s="867"/>
      <c r="Q12" s="65"/>
      <c r="R12" s="65"/>
      <c r="T12" s="65"/>
      <c r="V12" s="60"/>
      <c r="W12" s="60"/>
      <c r="X12" s="248"/>
      <c r="Y12" s="60"/>
      <c r="Z12" s="60"/>
      <c r="AA12" s="60"/>
      <c r="AB12" s="59"/>
      <c r="AC12" s="59"/>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59"/>
      <c r="BZ12" s="59"/>
      <c r="CA12" s="59"/>
      <c r="CB12" s="59"/>
      <c r="CC12" s="59"/>
      <c r="CD12" s="59"/>
      <c r="CE12" s="59"/>
      <c r="CF12" s="59"/>
      <c r="CG12" s="59"/>
      <c r="CH12" s="59"/>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row>
    <row r="13" spans="1:259" ht="22.5" customHeight="1">
      <c r="A13" s="1066"/>
      <c r="C13" s="247"/>
      <c r="D13" s="475"/>
      <c r="E13" s="873"/>
      <c r="F13" s="876"/>
      <c r="G13" s="847" t="s">
        <v>2124</v>
      </c>
      <c r="H13" s="874"/>
      <c r="I13" s="874"/>
      <c r="J13" s="94"/>
      <c r="K13" s="94"/>
      <c r="L13" s="94"/>
      <c r="M13" s="94"/>
      <c r="N13" s="94"/>
      <c r="O13" s="875"/>
      <c r="P13" s="868"/>
      <c r="Q13" s="65"/>
      <c r="R13" s="65"/>
      <c r="S13" s="65"/>
      <c r="U13" s="65"/>
      <c r="V13" s="60"/>
      <c r="W13" s="60"/>
      <c r="X13" s="248"/>
      <c r="Y13" s="60"/>
      <c r="Z13" s="60"/>
      <c r="AA13" s="60"/>
      <c r="AB13" s="59"/>
      <c r="AC13" s="59"/>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59"/>
      <c r="BZ13" s="59"/>
      <c r="CA13" s="59"/>
      <c r="CB13" s="59"/>
      <c r="CC13" s="59"/>
      <c r="CD13" s="59"/>
      <c r="CE13" s="59"/>
      <c r="CF13" s="59"/>
      <c r="CG13" s="59"/>
      <c r="CH13" s="59"/>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row>
    <row r="14" spans="1:259" s="43" customFormat="1" ht="21" customHeight="1">
      <c r="A14" s="9"/>
      <c r="B14" s="60"/>
      <c r="C14" s="9"/>
      <c r="D14" s="74"/>
      <c r="E14" s="88"/>
      <c r="F14" s="88"/>
      <c r="G14" s="88"/>
      <c r="H14" s="88"/>
      <c r="I14" s="88"/>
      <c r="J14" s="88"/>
      <c r="K14" s="88"/>
      <c r="L14" s="88"/>
      <c r="M14" s="88"/>
      <c r="N14" s="9"/>
      <c r="O14" s="9"/>
      <c r="P14" s="66"/>
      <c r="Q14" s="66"/>
      <c r="R14" s="66"/>
      <c r="S14" s="66"/>
      <c r="T14" s="66"/>
      <c r="U14" s="66"/>
      <c r="V14" s="123"/>
      <c r="W14" s="123"/>
      <c r="X14" s="123"/>
      <c r="Y14" s="123"/>
    </row>
    <row r="15" spans="1:259" s="43" customFormat="1" ht="14.25" customHeight="1">
      <c r="A15" s="9"/>
      <c r="B15" s="60"/>
      <c r="C15" s="9"/>
      <c r="D15" s="74"/>
      <c r="E15" s="9"/>
      <c r="F15" s="9"/>
      <c r="G15" s="9"/>
      <c r="H15" s="9"/>
      <c r="I15" s="9"/>
      <c r="J15" s="9"/>
      <c r="K15" s="9"/>
      <c r="L15" s="9"/>
      <c r="M15" s="9"/>
      <c r="N15" s="9"/>
      <c r="O15" s="9"/>
      <c r="P15" s="66"/>
      <c r="Q15" s="66"/>
      <c r="R15" s="66"/>
      <c r="S15" s="66"/>
      <c r="T15" s="66"/>
      <c r="U15" s="66"/>
      <c r="V15" s="123"/>
      <c r="W15" s="123"/>
      <c r="X15" s="123"/>
      <c r="Y15" s="123"/>
    </row>
    <row r="16" spans="1:259" s="43" customFormat="1" ht="0.75" customHeight="1">
      <c r="A16" s="9"/>
      <c r="B16" s="60"/>
      <c r="C16" s="9"/>
      <c r="D16" s="74"/>
      <c r="E16" s="9"/>
      <c r="F16" s="9"/>
      <c r="G16" s="9"/>
      <c r="H16" s="9"/>
      <c r="I16" s="9"/>
      <c r="J16" s="9"/>
      <c r="K16" s="9"/>
      <c r="L16" s="9"/>
      <c r="M16" s="9"/>
      <c r="N16" s="9"/>
      <c r="O16" s="9"/>
      <c r="P16" s="66"/>
      <c r="Q16" s="66"/>
      <c r="R16" s="66"/>
      <c r="S16" s="66"/>
      <c r="T16" s="66"/>
      <c r="U16" s="66"/>
      <c r="V16" s="123"/>
      <c r="W16" s="123"/>
      <c r="X16" s="123"/>
      <c r="Y16" s="123"/>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41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3E92D-C1CC-E3BC-ECD8-3493FF86B271}">
  <sheetPr>
    <tabColor rgb="FFCCCCFF"/>
    <pageSetUpPr fitToPage="1"/>
  </sheetPr>
  <dimension ref="A1:L12"/>
  <sheetViews>
    <sheetView showGridLines="0" topLeftCell="C6" zoomScale="90" workbookViewId="0"/>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12" width="9.140625" style="4"/>
  </cols>
  <sheetData>
    <row r="1" spans="3:6" ht="14.25" hidden="1" customHeight="1"/>
    <row r="2" spans="3:6" ht="14.25" hidden="1" customHeight="1"/>
    <row r="3" spans="3:6" ht="14.25" hidden="1" customHeight="1"/>
    <row r="4" spans="3:6" ht="14.25" hidden="1" customHeight="1"/>
    <row r="5" spans="3:6" ht="14.25" hidden="1" customHeight="1"/>
    <row r="6" spans="3:6" ht="3" customHeight="1">
      <c r="C6" s="23"/>
      <c r="D6" s="5"/>
      <c r="E6" s="5"/>
    </row>
    <row r="7" spans="3:6" ht="22.5" customHeight="1">
      <c r="C7" s="23"/>
      <c r="D7" s="1067" t="s">
        <v>2141</v>
      </c>
      <c r="E7" s="1067"/>
      <c r="F7" s="154"/>
    </row>
    <row r="8" spans="3:6" ht="3" customHeight="1">
      <c r="C8" s="23"/>
      <c r="D8" s="5"/>
      <c r="E8" s="5"/>
    </row>
    <row r="9" spans="3:6" ht="15.75" customHeight="1">
      <c r="C9" s="23"/>
      <c r="D9" s="34" t="s">
        <v>88</v>
      </c>
      <c r="E9" s="37" t="s">
        <v>289</v>
      </c>
    </row>
    <row r="10" spans="3:6" ht="12" customHeight="1">
      <c r="C10" s="23"/>
      <c r="D10" s="20" t="s">
        <v>119</v>
      </c>
      <c r="E10" s="20" t="s">
        <v>103</v>
      </c>
    </row>
    <row r="11" spans="3:6" ht="15" hidden="1" customHeight="1">
      <c r="C11" s="23"/>
      <c r="D11" s="42">
        <v>0</v>
      </c>
      <c r="E11" s="62"/>
    </row>
    <row r="12" spans="3:6" ht="14.25" customHeight="1">
      <c r="C12" s="23"/>
      <c r="D12" s="38"/>
      <c r="E12" s="36" t="s">
        <v>2101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42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DC6F-6231-6282-6EB7-4A205735ABB3}">
  <sheetPr>
    <tabColor rgb="FFCCCCFF"/>
  </sheetPr>
  <dimension ref="B1:E4"/>
  <sheetViews>
    <sheetView showGridLines="0" zoomScale="90" workbookViewId="0"/>
  </sheetViews>
  <sheetFormatPr defaultColWidth="9.140625" defaultRowHeight="11.25" customHeight="1"/>
  <cols>
    <col min="1" max="1" width="1.7109375" customWidth="1"/>
    <col min="2" max="2" width="34.5703125" customWidth="1"/>
    <col min="3" max="3" width="85.5703125" customWidth="1"/>
    <col min="4" max="4" width="17.7109375" customWidth="1"/>
  </cols>
  <sheetData>
    <row r="1" spans="2:5" ht="3" customHeight="1"/>
    <row r="2" spans="2:5" ht="22.5" customHeight="1">
      <c r="B2" s="1475" t="s">
        <v>2142</v>
      </c>
      <c r="C2" s="1475"/>
      <c r="D2" s="1475"/>
      <c r="E2" s="155"/>
    </row>
    <row r="3" spans="2:5" ht="3" customHeight="1"/>
    <row r="4" spans="2:5" ht="21.75" customHeight="1">
      <c r="B4" s="230" t="s">
        <v>2143</v>
      </c>
      <c r="C4" s="230" t="s">
        <v>2144</v>
      </c>
      <c r="D4" s="230" t="s">
        <v>2145</v>
      </c>
    </row>
  </sheetData>
  <sheetProtection formatColumns="0" formatRows="0" insertRows="0" deleteColumns="0" deleteRows="0" sort="0" autoFilter="0"/>
  <autoFilter ref="B4:D4" xr:uid="{00000000-0009-0000-0000-000043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65A68-9384-979C-C115-147673202E8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8842D-6272-AA71-2C04-E8B428EA21D8}">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443" t="s">
        <v>2146</v>
      </c>
      <c r="B1" s="447" t="s">
        <v>2147</v>
      </c>
      <c r="C1" s="1476" t="s">
        <v>2148</v>
      </c>
      <c r="D1" s="1477"/>
      <c r="E1" s="443" t="s">
        <v>2149</v>
      </c>
    </row>
    <row r="2" spans="1:5" ht="11.25" customHeight="1">
      <c r="A2" s="446"/>
      <c r="B2" s="448" t="s">
        <v>23</v>
      </c>
      <c r="C2" s="443"/>
      <c r="D2" s="447"/>
      <c r="E2" s="443"/>
    </row>
    <row r="3" spans="1:5" ht="11.25" customHeight="1">
      <c r="A3" s="451"/>
      <c r="B3" s="449" t="s">
        <v>29</v>
      </c>
      <c r="C3" s="443"/>
      <c r="D3" s="447"/>
      <c r="E3" s="443"/>
    </row>
    <row r="4" spans="1:5" ht="11.25" customHeight="1">
      <c r="A4" s="452"/>
      <c r="B4" s="449" t="s">
        <v>1074</v>
      </c>
      <c r="C4" s="443"/>
      <c r="D4" s="447"/>
      <c r="E4" s="443"/>
    </row>
    <row r="5" spans="1:5" ht="11.25" customHeight="1">
      <c r="A5" s="460"/>
      <c r="B5" s="449" t="s">
        <v>1067</v>
      </c>
      <c r="C5" s="445" t="s">
        <v>1321</v>
      </c>
      <c r="D5" s="523" t="s">
        <v>2150</v>
      </c>
      <c r="E5" s="443"/>
    </row>
    <row r="6" spans="1:5" ht="11.25" customHeight="1">
      <c r="A6" s="450"/>
      <c r="B6" s="449" t="s">
        <v>1080</v>
      </c>
      <c r="C6" s="443"/>
      <c r="D6" s="447"/>
      <c r="E6" s="443"/>
    </row>
    <row r="7" spans="1:5" ht="11.25" customHeight="1">
      <c r="A7" s="444"/>
      <c r="B7" s="449" t="s">
        <v>1090</v>
      </c>
      <c r="C7" s="443"/>
      <c r="D7" s="447"/>
      <c r="E7" s="443"/>
    </row>
    <row r="8" spans="1:5" ht="11.25" customHeight="1">
      <c r="A8" s="445"/>
      <c r="B8" s="449" t="s">
        <v>1085</v>
      </c>
      <c r="C8" s="443"/>
      <c r="D8" s="447"/>
      <c r="E8" s="44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A9D43-99B5-A429-7F9B-3CFB6B87E42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EAC5B-60D1-4C6C-6179-3F56691C4C0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9E3BF-AB38-4BBB-686D-F891FA38C074}">
  <sheetPr>
    <tabColor rgb="FFFFCC99"/>
  </sheetPr>
  <dimension ref="A1:I550"/>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2151</v>
      </c>
      <c r="B1" t="s">
        <v>2152</v>
      </c>
      <c r="C1" t="s">
        <v>2153</v>
      </c>
      <c r="D1" t="s">
        <v>2154</v>
      </c>
      <c r="E1" t="s">
        <v>2155</v>
      </c>
      <c r="F1" t="s">
        <v>2156</v>
      </c>
      <c r="G1" t="s">
        <v>2157</v>
      </c>
      <c r="H1" t="s">
        <v>2158</v>
      </c>
      <c r="I1" t="s">
        <v>2159</v>
      </c>
    </row>
    <row r="2" spans="1:9" ht="11.25" customHeight="1">
      <c r="A2" t="s">
        <v>2160</v>
      </c>
      <c r="B2" t="s">
        <v>14</v>
      </c>
      <c r="C2" t="s">
        <v>2161</v>
      </c>
      <c r="D2" t="s">
        <v>2162</v>
      </c>
      <c r="E2" t="s">
        <v>2163</v>
      </c>
      <c r="F2" t="s">
        <v>2164</v>
      </c>
      <c r="G2" t="s">
        <v>18</v>
      </c>
      <c r="H2" t="s">
        <v>18</v>
      </c>
      <c r="I2" t="s">
        <v>606</v>
      </c>
    </row>
    <row r="3" spans="1:9" ht="11.25" customHeight="1">
      <c r="A3" t="s">
        <v>2160</v>
      </c>
      <c r="B3" t="s">
        <v>14</v>
      </c>
      <c r="C3" t="s">
        <v>2165</v>
      </c>
      <c r="D3" t="s">
        <v>2166</v>
      </c>
      <c r="E3" t="s">
        <v>2167</v>
      </c>
      <c r="F3" t="s">
        <v>2168</v>
      </c>
      <c r="G3" t="s">
        <v>18</v>
      </c>
      <c r="H3" t="s">
        <v>18</v>
      </c>
      <c r="I3" t="s">
        <v>606</v>
      </c>
    </row>
    <row r="4" spans="1:9" ht="11.25" customHeight="1">
      <c r="A4" t="s">
        <v>2160</v>
      </c>
      <c r="B4" t="s">
        <v>14</v>
      </c>
      <c r="C4" t="s">
        <v>2169</v>
      </c>
      <c r="D4" t="s">
        <v>2170</v>
      </c>
      <c r="E4" t="s">
        <v>2171</v>
      </c>
      <c r="F4" t="s">
        <v>2172</v>
      </c>
      <c r="G4" t="s">
        <v>18</v>
      </c>
      <c r="H4" t="s">
        <v>18</v>
      </c>
      <c r="I4" t="s">
        <v>606</v>
      </c>
    </row>
    <row r="5" spans="1:9" ht="11.25" customHeight="1">
      <c r="A5" t="s">
        <v>2160</v>
      </c>
      <c r="B5" t="s">
        <v>14</v>
      </c>
      <c r="C5" t="s">
        <v>2173</v>
      </c>
      <c r="D5" t="s">
        <v>2174</v>
      </c>
      <c r="E5" t="s">
        <v>2175</v>
      </c>
      <c r="F5" t="s">
        <v>2176</v>
      </c>
      <c r="G5" t="s">
        <v>18</v>
      </c>
      <c r="H5" t="s">
        <v>18</v>
      </c>
      <c r="I5" t="s">
        <v>606</v>
      </c>
    </row>
    <row r="6" spans="1:9" ht="11.25" customHeight="1">
      <c r="A6" t="s">
        <v>2160</v>
      </c>
      <c r="B6" t="s">
        <v>14</v>
      </c>
      <c r="C6" t="s">
        <v>2177</v>
      </c>
      <c r="D6" t="s">
        <v>2178</v>
      </c>
      <c r="E6" t="s">
        <v>2163</v>
      </c>
      <c r="F6" t="s">
        <v>2168</v>
      </c>
      <c r="G6" t="s">
        <v>18</v>
      </c>
      <c r="H6" t="s">
        <v>18</v>
      </c>
      <c r="I6" t="s">
        <v>606</v>
      </c>
    </row>
    <row r="7" spans="1:9" ht="11.25" customHeight="1">
      <c r="A7" t="s">
        <v>2160</v>
      </c>
      <c r="B7" t="s">
        <v>14</v>
      </c>
      <c r="C7" t="s">
        <v>2179</v>
      </c>
      <c r="D7" t="s">
        <v>2180</v>
      </c>
      <c r="E7" t="s">
        <v>2181</v>
      </c>
      <c r="F7" t="s">
        <v>2182</v>
      </c>
      <c r="G7" t="s">
        <v>2183</v>
      </c>
      <c r="H7" t="s">
        <v>18</v>
      </c>
      <c r="I7" t="s">
        <v>606</v>
      </c>
    </row>
    <row r="8" spans="1:9" ht="11.25" customHeight="1">
      <c r="A8" t="s">
        <v>2160</v>
      </c>
      <c r="B8" t="s">
        <v>14</v>
      </c>
      <c r="C8" t="s">
        <v>2184</v>
      </c>
      <c r="D8" t="s">
        <v>2185</v>
      </c>
      <c r="E8" t="s">
        <v>2186</v>
      </c>
      <c r="F8" t="s">
        <v>2187</v>
      </c>
      <c r="G8" t="s">
        <v>2188</v>
      </c>
      <c r="H8" t="s">
        <v>18</v>
      </c>
      <c r="I8" t="s">
        <v>606</v>
      </c>
    </row>
    <row r="9" spans="1:9" ht="11.25" customHeight="1">
      <c r="A9" t="s">
        <v>2160</v>
      </c>
      <c r="B9" t="s">
        <v>14</v>
      </c>
      <c r="C9" t="s">
        <v>2189</v>
      </c>
      <c r="D9" t="s">
        <v>2190</v>
      </c>
      <c r="E9" t="s">
        <v>2191</v>
      </c>
      <c r="F9" t="s">
        <v>2192</v>
      </c>
      <c r="G9" t="s">
        <v>18</v>
      </c>
      <c r="H9" t="s">
        <v>18</v>
      </c>
      <c r="I9" t="s">
        <v>606</v>
      </c>
    </row>
    <row r="10" spans="1:9" ht="11.25" customHeight="1">
      <c r="A10" t="s">
        <v>2160</v>
      </c>
      <c r="B10" t="s">
        <v>14</v>
      </c>
      <c r="C10" t="s">
        <v>2193</v>
      </c>
      <c r="D10" t="s">
        <v>2194</v>
      </c>
      <c r="E10" t="s">
        <v>2195</v>
      </c>
      <c r="F10" t="s">
        <v>2196</v>
      </c>
      <c r="G10" t="s">
        <v>2197</v>
      </c>
      <c r="H10" t="s">
        <v>18</v>
      </c>
      <c r="I10" t="s">
        <v>606</v>
      </c>
    </row>
    <row r="11" spans="1:9" ht="11.25" customHeight="1">
      <c r="A11" t="s">
        <v>2160</v>
      </c>
      <c r="B11" t="s">
        <v>14</v>
      </c>
      <c r="C11" t="s">
        <v>2198</v>
      </c>
      <c r="D11" t="s">
        <v>2199</v>
      </c>
      <c r="E11" t="s">
        <v>2200</v>
      </c>
      <c r="F11" t="s">
        <v>2201</v>
      </c>
      <c r="G11" t="s">
        <v>18</v>
      </c>
      <c r="H11" t="s">
        <v>18</v>
      </c>
      <c r="I11" t="s">
        <v>606</v>
      </c>
    </row>
    <row r="12" spans="1:9" ht="11.25" customHeight="1">
      <c r="A12" t="s">
        <v>2160</v>
      </c>
      <c r="B12" t="s">
        <v>14</v>
      </c>
      <c r="C12" t="s">
        <v>2202</v>
      </c>
      <c r="D12" t="s">
        <v>2203</v>
      </c>
      <c r="E12" t="s">
        <v>2204</v>
      </c>
      <c r="F12" t="s">
        <v>2176</v>
      </c>
      <c r="G12" t="s">
        <v>2205</v>
      </c>
      <c r="H12" t="s">
        <v>18</v>
      </c>
      <c r="I12" t="s">
        <v>606</v>
      </c>
    </row>
    <row r="13" spans="1:9" ht="11.25" customHeight="1">
      <c r="A13" t="s">
        <v>2160</v>
      </c>
      <c r="B13" t="s">
        <v>14</v>
      </c>
      <c r="C13" t="s">
        <v>2206</v>
      </c>
      <c r="D13" t="s">
        <v>2207</v>
      </c>
      <c r="E13" t="s">
        <v>2208</v>
      </c>
      <c r="F13" t="s">
        <v>2196</v>
      </c>
      <c r="G13" t="s">
        <v>18</v>
      </c>
      <c r="H13" t="s">
        <v>18</v>
      </c>
      <c r="I13" t="s">
        <v>606</v>
      </c>
    </row>
    <row r="14" spans="1:9" ht="11.25" customHeight="1">
      <c r="A14" t="s">
        <v>2160</v>
      </c>
      <c r="B14" t="s">
        <v>14</v>
      </c>
      <c r="C14" t="s">
        <v>2209</v>
      </c>
      <c r="D14" t="s">
        <v>2210</v>
      </c>
      <c r="E14" t="s">
        <v>2211</v>
      </c>
      <c r="F14" t="s">
        <v>2212</v>
      </c>
      <c r="G14" t="s">
        <v>18</v>
      </c>
      <c r="H14" t="s">
        <v>18</v>
      </c>
      <c r="I14" t="s">
        <v>606</v>
      </c>
    </row>
    <row r="15" spans="1:9" ht="11.25" customHeight="1">
      <c r="A15" t="s">
        <v>2160</v>
      </c>
      <c r="B15" t="s">
        <v>14</v>
      </c>
      <c r="C15" t="s">
        <v>2213</v>
      </c>
      <c r="D15" t="s">
        <v>2210</v>
      </c>
      <c r="E15" t="s">
        <v>2211</v>
      </c>
      <c r="F15" t="s">
        <v>2214</v>
      </c>
      <c r="G15" t="s">
        <v>18</v>
      </c>
      <c r="H15" t="s">
        <v>18</v>
      </c>
      <c r="I15" t="s">
        <v>606</v>
      </c>
    </row>
    <row r="16" spans="1:9" ht="11.25" customHeight="1">
      <c r="A16" t="s">
        <v>2160</v>
      </c>
      <c r="B16" t="s">
        <v>14</v>
      </c>
      <c r="C16" t="s">
        <v>2215</v>
      </c>
      <c r="D16" t="s">
        <v>2216</v>
      </c>
      <c r="E16" t="s">
        <v>2217</v>
      </c>
      <c r="F16" t="s">
        <v>2218</v>
      </c>
      <c r="G16" t="s">
        <v>2219</v>
      </c>
      <c r="H16" t="s">
        <v>18</v>
      </c>
      <c r="I16" t="s">
        <v>606</v>
      </c>
    </row>
    <row r="17" spans="1:9" ht="11.25" customHeight="1">
      <c r="A17" t="s">
        <v>2160</v>
      </c>
      <c r="B17" t="s">
        <v>14</v>
      </c>
      <c r="C17" t="s">
        <v>2220</v>
      </c>
      <c r="D17" t="s">
        <v>2221</v>
      </c>
      <c r="E17" t="s">
        <v>2222</v>
      </c>
      <c r="F17" t="s">
        <v>2223</v>
      </c>
      <c r="G17" t="s">
        <v>18</v>
      </c>
      <c r="H17" t="s">
        <v>18</v>
      </c>
      <c r="I17" t="s">
        <v>606</v>
      </c>
    </row>
    <row r="18" spans="1:9" ht="11.25" customHeight="1">
      <c r="A18" t="s">
        <v>2160</v>
      </c>
      <c r="B18" t="s">
        <v>14</v>
      </c>
      <c r="C18" t="s">
        <v>2224</v>
      </c>
      <c r="D18" t="s">
        <v>2225</v>
      </c>
      <c r="E18" t="s">
        <v>2226</v>
      </c>
      <c r="F18" t="s">
        <v>2214</v>
      </c>
      <c r="G18" t="s">
        <v>18</v>
      </c>
      <c r="H18" t="s">
        <v>18</v>
      </c>
      <c r="I18" t="s">
        <v>606</v>
      </c>
    </row>
    <row r="19" spans="1:9" ht="11.25" customHeight="1">
      <c r="A19" t="s">
        <v>2160</v>
      </c>
      <c r="B19" t="s">
        <v>14</v>
      </c>
      <c r="C19" t="s">
        <v>2227</v>
      </c>
      <c r="D19" t="s">
        <v>2228</v>
      </c>
      <c r="E19" t="s">
        <v>2229</v>
      </c>
      <c r="F19" t="s">
        <v>2230</v>
      </c>
      <c r="G19" t="s">
        <v>18</v>
      </c>
      <c r="H19" t="s">
        <v>18</v>
      </c>
      <c r="I19" t="s">
        <v>606</v>
      </c>
    </row>
    <row r="20" spans="1:9" ht="11.25" customHeight="1">
      <c r="A20" t="s">
        <v>2160</v>
      </c>
      <c r="B20" t="s">
        <v>14</v>
      </c>
      <c r="C20" t="s">
        <v>2231</v>
      </c>
      <c r="D20" t="s">
        <v>2232</v>
      </c>
      <c r="E20" t="s">
        <v>2233</v>
      </c>
      <c r="F20" t="s">
        <v>2234</v>
      </c>
      <c r="G20" t="s">
        <v>18</v>
      </c>
      <c r="H20" t="s">
        <v>18</v>
      </c>
      <c r="I20" t="s">
        <v>606</v>
      </c>
    </row>
    <row r="21" spans="1:9" ht="11.25" customHeight="1">
      <c r="A21" t="s">
        <v>2160</v>
      </c>
      <c r="B21" t="s">
        <v>14</v>
      </c>
      <c r="C21" t="s">
        <v>2235</v>
      </c>
      <c r="D21" t="s">
        <v>2236</v>
      </c>
      <c r="E21" t="s">
        <v>2237</v>
      </c>
      <c r="F21" t="s">
        <v>2238</v>
      </c>
      <c r="G21" t="s">
        <v>18</v>
      </c>
      <c r="H21" t="s">
        <v>18</v>
      </c>
      <c r="I21" t="s">
        <v>606</v>
      </c>
    </row>
    <row r="22" spans="1:9" ht="11.25" customHeight="1">
      <c r="A22" t="s">
        <v>2160</v>
      </c>
      <c r="B22" t="s">
        <v>14</v>
      </c>
      <c r="C22" t="s">
        <v>2239</v>
      </c>
      <c r="D22" t="s">
        <v>2240</v>
      </c>
      <c r="E22" t="s">
        <v>2241</v>
      </c>
      <c r="F22" t="s">
        <v>2242</v>
      </c>
      <c r="G22" t="s">
        <v>18</v>
      </c>
      <c r="H22" t="s">
        <v>18</v>
      </c>
      <c r="I22" t="s">
        <v>606</v>
      </c>
    </row>
    <row r="23" spans="1:9" ht="11.25" customHeight="1">
      <c r="A23" t="s">
        <v>2160</v>
      </c>
      <c r="B23" t="s">
        <v>14</v>
      </c>
      <c r="C23" t="s">
        <v>2243</v>
      </c>
      <c r="D23" t="s">
        <v>2244</v>
      </c>
      <c r="E23" t="s">
        <v>2245</v>
      </c>
      <c r="F23" t="s">
        <v>2246</v>
      </c>
      <c r="G23" t="s">
        <v>2247</v>
      </c>
      <c r="H23" t="s">
        <v>18</v>
      </c>
      <c r="I23" t="s">
        <v>606</v>
      </c>
    </row>
    <row r="24" spans="1:9" ht="11.25" customHeight="1">
      <c r="A24" t="s">
        <v>2160</v>
      </c>
      <c r="B24" t="s">
        <v>14</v>
      </c>
      <c r="C24" t="s">
        <v>2248</v>
      </c>
      <c r="D24" t="s">
        <v>2249</v>
      </c>
      <c r="E24" t="s">
        <v>2250</v>
      </c>
      <c r="F24" t="s">
        <v>2251</v>
      </c>
      <c r="G24" t="s">
        <v>18</v>
      </c>
      <c r="H24" t="s">
        <v>18</v>
      </c>
      <c r="I24" t="s">
        <v>606</v>
      </c>
    </row>
    <row r="25" spans="1:9" ht="11.25" customHeight="1">
      <c r="A25" t="s">
        <v>2160</v>
      </c>
      <c r="B25" t="s">
        <v>14</v>
      </c>
      <c r="C25" t="s">
        <v>2252</v>
      </c>
      <c r="D25" t="s">
        <v>2253</v>
      </c>
      <c r="E25" t="s">
        <v>2254</v>
      </c>
      <c r="F25" t="s">
        <v>2192</v>
      </c>
      <c r="G25" t="s">
        <v>2255</v>
      </c>
      <c r="H25" t="s">
        <v>18</v>
      </c>
      <c r="I25" t="s">
        <v>606</v>
      </c>
    </row>
    <row r="26" spans="1:9" ht="11.25" customHeight="1">
      <c r="A26" t="s">
        <v>2160</v>
      </c>
      <c r="B26" t="s">
        <v>14</v>
      </c>
      <c r="C26" t="s">
        <v>2256</v>
      </c>
      <c r="D26" t="s">
        <v>2257</v>
      </c>
      <c r="E26" t="s">
        <v>2258</v>
      </c>
      <c r="F26" t="s">
        <v>2246</v>
      </c>
      <c r="G26" t="s">
        <v>2259</v>
      </c>
      <c r="H26" t="s">
        <v>18</v>
      </c>
      <c r="I26" t="s">
        <v>606</v>
      </c>
    </row>
    <row r="27" spans="1:9" ht="11.25" customHeight="1">
      <c r="A27" t="s">
        <v>2160</v>
      </c>
      <c r="B27" t="s">
        <v>14</v>
      </c>
      <c r="C27" t="s">
        <v>2260</v>
      </c>
      <c r="D27" t="s">
        <v>2261</v>
      </c>
      <c r="E27" t="s">
        <v>2262</v>
      </c>
      <c r="F27" t="s">
        <v>2246</v>
      </c>
      <c r="G27" t="s">
        <v>18</v>
      </c>
      <c r="H27" t="s">
        <v>18</v>
      </c>
      <c r="I27" t="s">
        <v>606</v>
      </c>
    </row>
    <row r="28" spans="1:9" ht="11.25" customHeight="1">
      <c r="A28" t="s">
        <v>2160</v>
      </c>
      <c r="B28" t="s">
        <v>14</v>
      </c>
      <c r="C28" t="s">
        <v>2263</v>
      </c>
      <c r="D28" t="s">
        <v>2264</v>
      </c>
      <c r="E28" t="s">
        <v>2265</v>
      </c>
      <c r="F28" t="s">
        <v>2266</v>
      </c>
      <c r="G28" t="s">
        <v>2267</v>
      </c>
      <c r="H28" t="s">
        <v>18</v>
      </c>
      <c r="I28" t="s">
        <v>606</v>
      </c>
    </row>
    <row r="29" spans="1:9" ht="11.25" customHeight="1">
      <c r="A29" t="s">
        <v>2160</v>
      </c>
      <c r="B29" t="s">
        <v>14</v>
      </c>
      <c r="C29" t="s">
        <v>2268</v>
      </c>
      <c r="D29" t="s">
        <v>2269</v>
      </c>
      <c r="E29" t="s">
        <v>2270</v>
      </c>
      <c r="F29" t="s">
        <v>2271</v>
      </c>
      <c r="G29" t="s">
        <v>2272</v>
      </c>
      <c r="H29" t="s">
        <v>18</v>
      </c>
      <c r="I29" t="s">
        <v>606</v>
      </c>
    </row>
    <row r="30" spans="1:9" ht="11.25" customHeight="1">
      <c r="A30" t="s">
        <v>2160</v>
      </c>
      <c r="B30" t="s">
        <v>14</v>
      </c>
      <c r="C30" t="s">
        <v>2273</v>
      </c>
      <c r="D30" t="s">
        <v>2274</v>
      </c>
      <c r="E30" t="s">
        <v>2275</v>
      </c>
      <c r="F30" t="s">
        <v>2246</v>
      </c>
      <c r="G30" t="s">
        <v>18</v>
      </c>
      <c r="H30" t="s">
        <v>18</v>
      </c>
      <c r="I30" t="s">
        <v>606</v>
      </c>
    </row>
    <row r="31" spans="1:9" ht="11.25" customHeight="1">
      <c r="A31" t="s">
        <v>2160</v>
      </c>
      <c r="B31" t="s">
        <v>14</v>
      </c>
      <c r="C31" t="s">
        <v>2276</v>
      </c>
      <c r="D31" t="s">
        <v>2277</v>
      </c>
      <c r="E31" t="s">
        <v>2278</v>
      </c>
      <c r="F31" t="s">
        <v>2279</v>
      </c>
      <c r="G31" t="s">
        <v>18</v>
      </c>
      <c r="H31" t="s">
        <v>18</v>
      </c>
      <c r="I31" t="s">
        <v>606</v>
      </c>
    </row>
    <row r="32" spans="1:9" ht="11.25" customHeight="1">
      <c r="A32" t="s">
        <v>2160</v>
      </c>
      <c r="B32" t="s">
        <v>14</v>
      </c>
      <c r="C32" t="s">
        <v>2280</v>
      </c>
      <c r="D32" t="s">
        <v>2281</v>
      </c>
      <c r="E32" t="s">
        <v>2282</v>
      </c>
      <c r="F32" t="s">
        <v>2283</v>
      </c>
      <c r="G32" t="s">
        <v>18</v>
      </c>
      <c r="H32" t="s">
        <v>18</v>
      </c>
      <c r="I32" t="s">
        <v>606</v>
      </c>
    </row>
    <row r="33" spans="1:9" ht="11.25" customHeight="1">
      <c r="A33" t="s">
        <v>2160</v>
      </c>
      <c r="B33" t="s">
        <v>14</v>
      </c>
      <c r="C33" t="s">
        <v>2284</v>
      </c>
      <c r="D33" t="s">
        <v>2285</v>
      </c>
      <c r="E33" t="s">
        <v>2286</v>
      </c>
      <c r="F33" t="s">
        <v>2287</v>
      </c>
      <c r="G33" t="s">
        <v>18</v>
      </c>
      <c r="H33" t="s">
        <v>18</v>
      </c>
      <c r="I33" t="s">
        <v>606</v>
      </c>
    </row>
    <row r="34" spans="1:9" ht="11.25" customHeight="1">
      <c r="A34" t="s">
        <v>2160</v>
      </c>
      <c r="B34" t="s">
        <v>14</v>
      </c>
      <c r="C34" t="s">
        <v>2288</v>
      </c>
      <c r="D34" t="s">
        <v>2289</v>
      </c>
      <c r="E34" t="s">
        <v>2290</v>
      </c>
      <c r="F34" t="s">
        <v>2291</v>
      </c>
      <c r="G34" t="s">
        <v>2292</v>
      </c>
      <c r="H34" t="s">
        <v>18</v>
      </c>
      <c r="I34" t="s">
        <v>606</v>
      </c>
    </row>
    <row r="35" spans="1:9" ht="11.25" customHeight="1">
      <c r="A35" t="s">
        <v>2160</v>
      </c>
      <c r="B35" t="s">
        <v>14</v>
      </c>
      <c r="C35" t="s">
        <v>2293</v>
      </c>
      <c r="D35" t="s">
        <v>2294</v>
      </c>
      <c r="E35" t="s">
        <v>2295</v>
      </c>
      <c r="F35" t="s">
        <v>2246</v>
      </c>
      <c r="G35" t="s">
        <v>18</v>
      </c>
      <c r="H35" t="s">
        <v>18</v>
      </c>
      <c r="I35" t="s">
        <v>606</v>
      </c>
    </row>
    <row r="36" spans="1:9" ht="11.25" customHeight="1">
      <c r="A36" t="s">
        <v>2160</v>
      </c>
      <c r="B36" t="s">
        <v>14</v>
      </c>
      <c r="C36" t="s">
        <v>2296</v>
      </c>
      <c r="D36" t="s">
        <v>2297</v>
      </c>
      <c r="E36" t="s">
        <v>2298</v>
      </c>
      <c r="F36" t="s">
        <v>2246</v>
      </c>
      <c r="G36" t="s">
        <v>2183</v>
      </c>
      <c r="H36" t="s">
        <v>18</v>
      </c>
      <c r="I36" t="s">
        <v>606</v>
      </c>
    </row>
    <row r="37" spans="1:9" ht="11.25" customHeight="1">
      <c r="A37" t="s">
        <v>2160</v>
      </c>
      <c r="B37" t="s">
        <v>14</v>
      </c>
      <c r="C37" t="s">
        <v>2299</v>
      </c>
      <c r="D37" t="s">
        <v>2300</v>
      </c>
      <c r="E37" t="s">
        <v>2301</v>
      </c>
      <c r="F37" t="s">
        <v>2214</v>
      </c>
      <c r="G37" t="s">
        <v>18</v>
      </c>
      <c r="H37" t="s">
        <v>18</v>
      </c>
      <c r="I37" t="s">
        <v>606</v>
      </c>
    </row>
    <row r="38" spans="1:9" ht="11.25" customHeight="1">
      <c r="A38" t="s">
        <v>2160</v>
      </c>
      <c r="B38" t="s">
        <v>14</v>
      </c>
      <c r="C38" t="s">
        <v>2302</v>
      </c>
      <c r="D38" t="s">
        <v>2303</v>
      </c>
      <c r="E38" t="s">
        <v>2304</v>
      </c>
      <c r="F38" t="s">
        <v>2176</v>
      </c>
      <c r="G38" t="s">
        <v>18</v>
      </c>
      <c r="H38" t="s">
        <v>18</v>
      </c>
      <c r="I38" t="s">
        <v>606</v>
      </c>
    </row>
    <row r="39" spans="1:9" ht="11.25" customHeight="1">
      <c r="A39" t="s">
        <v>2160</v>
      </c>
      <c r="B39" t="s">
        <v>14</v>
      </c>
      <c r="C39" t="s">
        <v>2305</v>
      </c>
      <c r="D39" t="s">
        <v>2306</v>
      </c>
      <c r="E39" t="s">
        <v>2307</v>
      </c>
      <c r="F39" t="s">
        <v>2308</v>
      </c>
      <c r="G39" t="s">
        <v>18</v>
      </c>
      <c r="H39" t="s">
        <v>18</v>
      </c>
      <c r="I39" t="s">
        <v>606</v>
      </c>
    </row>
    <row r="40" spans="1:9" ht="11.25" customHeight="1">
      <c r="A40" t="s">
        <v>2160</v>
      </c>
      <c r="B40" t="s">
        <v>14</v>
      </c>
      <c r="C40" t="s">
        <v>2309</v>
      </c>
      <c r="D40" t="s">
        <v>2310</v>
      </c>
      <c r="E40" t="s">
        <v>2311</v>
      </c>
      <c r="F40" t="s">
        <v>2312</v>
      </c>
      <c r="G40" t="s">
        <v>2313</v>
      </c>
      <c r="H40" t="s">
        <v>18</v>
      </c>
      <c r="I40" t="s">
        <v>606</v>
      </c>
    </row>
    <row r="41" spans="1:9" ht="11.25" customHeight="1">
      <c r="A41" t="s">
        <v>2160</v>
      </c>
      <c r="B41" t="s">
        <v>14</v>
      </c>
      <c r="C41" t="s">
        <v>2314</v>
      </c>
      <c r="D41" t="s">
        <v>2315</v>
      </c>
      <c r="E41" t="s">
        <v>2316</v>
      </c>
      <c r="F41" t="s">
        <v>2317</v>
      </c>
      <c r="G41" t="s">
        <v>18</v>
      </c>
      <c r="H41" t="s">
        <v>18</v>
      </c>
      <c r="I41" t="s">
        <v>606</v>
      </c>
    </row>
    <row r="42" spans="1:9" ht="11.25" customHeight="1">
      <c r="A42" t="s">
        <v>2160</v>
      </c>
      <c r="B42" t="s">
        <v>14</v>
      </c>
      <c r="C42" t="s">
        <v>2318</v>
      </c>
      <c r="D42" t="s">
        <v>2319</v>
      </c>
      <c r="E42" t="s">
        <v>2320</v>
      </c>
      <c r="F42" t="s">
        <v>2312</v>
      </c>
      <c r="G42" t="s">
        <v>2321</v>
      </c>
      <c r="H42" t="s">
        <v>18</v>
      </c>
      <c r="I42" t="s">
        <v>606</v>
      </c>
    </row>
    <row r="43" spans="1:9" ht="11.25" customHeight="1">
      <c r="A43" t="s">
        <v>2160</v>
      </c>
      <c r="B43" t="s">
        <v>14</v>
      </c>
      <c r="C43" t="s">
        <v>2322</v>
      </c>
      <c r="D43" t="s">
        <v>2323</v>
      </c>
      <c r="E43" t="s">
        <v>2324</v>
      </c>
      <c r="F43" t="s">
        <v>2187</v>
      </c>
      <c r="G43" t="s">
        <v>18</v>
      </c>
      <c r="H43" t="s">
        <v>18</v>
      </c>
      <c r="I43" t="s">
        <v>606</v>
      </c>
    </row>
    <row r="44" spans="1:9" ht="11.25" customHeight="1">
      <c r="A44" t="s">
        <v>2160</v>
      </c>
      <c r="B44" t="s">
        <v>14</v>
      </c>
      <c r="C44" t="s">
        <v>2325</v>
      </c>
      <c r="D44" t="s">
        <v>2326</v>
      </c>
      <c r="E44" t="s">
        <v>2327</v>
      </c>
      <c r="F44" t="s">
        <v>2187</v>
      </c>
      <c r="G44" t="s">
        <v>18</v>
      </c>
      <c r="H44" t="s">
        <v>18</v>
      </c>
      <c r="I44" t="s">
        <v>606</v>
      </c>
    </row>
    <row r="45" spans="1:9" ht="11.25" customHeight="1">
      <c r="A45" t="s">
        <v>2160</v>
      </c>
      <c r="B45" t="s">
        <v>14</v>
      </c>
      <c r="C45" t="s">
        <v>2328</v>
      </c>
      <c r="D45" t="s">
        <v>2329</v>
      </c>
      <c r="E45" t="s">
        <v>2330</v>
      </c>
      <c r="F45" t="s">
        <v>2218</v>
      </c>
      <c r="G45" t="s">
        <v>18</v>
      </c>
      <c r="H45" t="s">
        <v>18</v>
      </c>
      <c r="I45" t="s">
        <v>606</v>
      </c>
    </row>
    <row r="46" spans="1:9" ht="11.25" customHeight="1">
      <c r="A46" t="s">
        <v>2160</v>
      </c>
      <c r="B46" t="s">
        <v>14</v>
      </c>
      <c r="C46" t="s">
        <v>2331</v>
      </c>
      <c r="D46" t="s">
        <v>2332</v>
      </c>
      <c r="E46" t="s">
        <v>2333</v>
      </c>
      <c r="F46" t="s">
        <v>2334</v>
      </c>
      <c r="G46" t="s">
        <v>2335</v>
      </c>
      <c r="H46" t="s">
        <v>18</v>
      </c>
      <c r="I46" t="s">
        <v>606</v>
      </c>
    </row>
    <row r="47" spans="1:9" ht="11.25" customHeight="1">
      <c r="A47" t="s">
        <v>2160</v>
      </c>
      <c r="B47" t="s">
        <v>14</v>
      </c>
      <c r="C47" t="s">
        <v>2336</v>
      </c>
      <c r="D47" t="s">
        <v>2337</v>
      </c>
      <c r="E47" t="s">
        <v>2338</v>
      </c>
      <c r="F47" t="s">
        <v>2334</v>
      </c>
      <c r="G47" t="s">
        <v>2339</v>
      </c>
      <c r="H47" t="s">
        <v>18</v>
      </c>
      <c r="I47" t="s">
        <v>606</v>
      </c>
    </row>
    <row r="48" spans="1:9" ht="11.25" customHeight="1">
      <c r="A48" t="s">
        <v>2160</v>
      </c>
      <c r="B48" t="s">
        <v>14</v>
      </c>
      <c r="C48" t="s">
        <v>2340</v>
      </c>
      <c r="D48" t="s">
        <v>2341</v>
      </c>
      <c r="E48" t="s">
        <v>2342</v>
      </c>
      <c r="F48" t="s">
        <v>2246</v>
      </c>
      <c r="G48" t="s">
        <v>18</v>
      </c>
      <c r="H48" t="s">
        <v>18</v>
      </c>
      <c r="I48" t="s">
        <v>606</v>
      </c>
    </row>
    <row r="49" spans="1:9" ht="11.25" customHeight="1">
      <c r="A49" t="s">
        <v>2160</v>
      </c>
      <c r="B49" t="s">
        <v>14</v>
      </c>
      <c r="C49" t="s">
        <v>2343</v>
      </c>
      <c r="D49" t="s">
        <v>2344</v>
      </c>
      <c r="E49" t="s">
        <v>2345</v>
      </c>
      <c r="F49" t="s">
        <v>2230</v>
      </c>
      <c r="G49" t="s">
        <v>18</v>
      </c>
      <c r="H49" t="s">
        <v>18</v>
      </c>
      <c r="I49" t="s">
        <v>606</v>
      </c>
    </row>
    <row r="50" spans="1:9" ht="11.25" customHeight="1">
      <c r="A50" t="s">
        <v>2160</v>
      </c>
      <c r="B50" t="s">
        <v>14</v>
      </c>
      <c r="C50" t="s">
        <v>2346</v>
      </c>
      <c r="D50" t="s">
        <v>2347</v>
      </c>
      <c r="E50" t="s">
        <v>2348</v>
      </c>
      <c r="F50" t="s">
        <v>2218</v>
      </c>
      <c r="G50" t="s">
        <v>2349</v>
      </c>
      <c r="H50" t="s">
        <v>18</v>
      </c>
      <c r="I50" t="s">
        <v>606</v>
      </c>
    </row>
    <row r="51" spans="1:9" ht="11.25" customHeight="1">
      <c r="A51" t="s">
        <v>2160</v>
      </c>
      <c r="B51" t="s">
        <v>14</v>
      </c>
      <c r="C51" t="s">
        <v>2350</v>
      </c>
      <c r="D51" t="s">
        <v>2351</v>
      </c>
      <c r="E51" t="s">
        <v>2352</v>
      </c>
      <c r="F51" t="s">
        <v>2168</v>
      </c>
      <c r="G51" t="s">
        <v>18</v>
      </c>
      <c r="H51" t="s">
        <v>18</v>
      </c>
      <c r="I51" t="s">
        <v>606</v>
      </c>
    </row>
    <row r="52" spans="1:9" ht="11.25" customHeight="1">
      <c r="A52" t="s">
        <v>2160</v>
      </c>
      <c r="B52" t="s">
        <v>14</v>
      </c>
      <c r="C52" t="s">
        <v>2353</v>
      </c>
      <c r="D52" t="s">
        <v>2354</v>
      </c>
      <c r="E52" t="s">
        <v>2355</v>
      </c>
      <c r="F52" t="s">
        <v>2356</v>
      </c>
      <c r="G52" t="s">
        <v>18</v>
      </c>
      <c r="H52" t="s">
        <v>18</v>
      </c>
      <c r="I52" t="s">
        <v>606</v>
      </c>
    </row>
    <row r="53" spans="1:9" ht="11.25" customHeight="1">
      <c r="A53" t="s">
        <v>2160</v>
      </c>
      <c r="B53" t="s">
        <v>14</v>
      </c>
      <c r="C53" t="s">
        <v>2357</v>
      </c>
      <c r="D53" t="s">
        <v>2358</v>
      </c>
      <c r="E53" t="s">
        <v>2359</v>
      </c>
      <c r="F53" t="s">
        <v>2176</v>
      </c>
      <c r="G53" t="s">
        <v>2360</v>
      </c>
      <c r="H53" t="s">
        <v>18</v>
      </c>
      <c r="I53" t="s">
        <v>606</v>
      </c>
    </row>
    <row r="54" spans="1:9" ht="11.25" customHeight="1">
      <c r="A54" t="s">
        <v>2160</v>
      </c>
      <c r="B54" t="s">
        <v>14</v>
      </c>
      <c r="C54" t="s">
        <v>2361</v>
      </c>
      <c r="D54" t="s">
        <v>2362</v>
      </c>
      <c r="E54" t="s">
        <v>2363</v>
      </c>
      <c r="F54" t="s">
        <v>2364</v>
      </c>
      <c r="G54" t="s">
        <v>18</v>
      </c>
      <c r="H54" t="s">
        <v>18</v>
      </c>
      <c r="I54" t="s">
        <v>606</v>
      </c>
    </row>
    <row r="55" spans="1:9" ht="11.25" customHeight="1">
      <c r="A55" t="s">
        <v>2160</v>
      </c>
      <c r="B55" t="s">
        <v>14</v>
      </c>
      <c r="C55" t="s">
        <v>2365</v>
      </c>
      <c r="D55" t="s">
        <v>2366</v>
      </c>
      <c r="E55" t="s">
        <v>2367</v>
      </c>
      <c r="F55" t="s">
        <v>2312</v>
      </c>
      <c r="G55" t="s">
        <v>18</v>
      </c>
      <c r="H55" t="s">
        <v>18</v>
      </c>
      <c r="I55" t="s">
        <v>606</v>
      </c>
    </row>
    <row r="56" spans="1:9" ht="11.25" customHeight="1">
      <c r="A56" t="s">
        <v>2160</v>
      </c>
      <c r="B56" t="s">
        <v>14</v>
      </c>
      <c r="C56" t="s">
        <v>2368</v>
      </c>
      <c r="D56" t="s">
        <v>2369</v>
      </c>
      <c r="E56" t="s">
        <v>2370</v>
      </c>
      <c r="F56" t="s">
        <v>2371</v>
      </c>
      <c r="G56" t="s">
        <v>18</v>
      </c>
      <c r="H56" t="s">
        <v>18</v>
      </c>
      <c r="I56" t="s">
        <v>606</v>
      </c>
    </row>
    <row r="57" spans="1:9" ht="11.25" customHeight="1">
      <c r="A57" t="s">
        <v>2160</v>
      </c>
      <c r="B57" t="s">
        <v>14</v>
      </c>
      <c r="C57" t="s">
        <v>2372</v>
      </c>
      <c r="D57" t="s">
        <v>2373</v>
      </c>
      <c r="E57" t="s">
        <v>2374</v>
      </c>
      <c r="F57" t="s">
        <v>2312</v>
      </c>
      <c r="G57" t="s">
        <v>18</v>
      </c>
      <c r="H57" t="s">
        <v>18</v>
      </c>
      <c r="I57" t="s">
        <v>606</v>
      </c>
    </row>
    <row r="58" spans="1:9" ht="11.25" customHeight="1">
      <c r="A58" t="s">
        <v>2160</v>
      </c>
      <c r="B58" t="s">
        <v>14</v>
      </c>
      <c r="C58" t="s">
        <v>2375</v>
      </c>
      <c r="D58" t="s">
        <v>2376</v>
      </c>
      <c r="E58" t="s">
        <v>2377</v>
      </c>
      <c r="F58" t="s">
        <v>2378</v>
      </c>
      <c r="G58" t="s">
        <v>18</v>
      </c>
      <c r="H58" t="s">
        <v>18</v>
      </c>
      <c r="I58" t="s">
        <v>606</v>
      </c>
    </row>
    <row r="59" spans="1:9" ht="11.25" customHeight="1">
      <c r="A59" t="s">
        <v>2160</v>
      </c>
      <c r="B59" t="s">
        <v>14</v>
      </c>
      <c r="C59" t="s">
        <v>2379</v>
      </c>
      <c r="D59" t="s">
        <v>2380</v>
      </c>
      <c r="E59" t="s">
        <v>2381</v>
      </c>
      <c r="F59" t="s">
        <v>2168</v>
      </c>
      <c r="G59" t="s">
        <v>18</v>
      </c>
      <c r="H59" t="s">
        <v>18</v>
      </c>
      <c r="I59" t="s">
        <v>606</v>
      </c>
    </row>
    <row r="60" spans="1:9" ht="11.25" customHeight="1">
      <c r="A60" t="s">
        <v>2160</v>
      </c>
      <c r="B60" t="s">
        <v>14</v>
      </c>
      <c r="C60" t="s">
        <v>2382</v>
      </c>
      <c r="D60" t="s">
        <v>2383</v>
      </c>
      <c r="E60" t="s">
        <v>2384</v>
      </c>
      <c r="F60" t="s">
        <v>2385</v>
      </c>
      <c r="G60" t="s">
        <v>18</v>
      </c>
      <c r="H60" t="s">
        <v>18</v>
      </c>
      <c r="I60" t="s">
        <v>606</v>
      </c>
    </row>
    <row r="61" spans="1:9" ht="11.25" customHeight="1">
      <c r="A61" t="s">
        <v>2160</v>
      </c>
      <c r="B61" t="s">
        <v>14</v>
      </c>
      <c r="C61" t="s">
        <v>2386</v>
      </c>
      <c r="D61" t="s">
        <v>2387</v>
      </c>
      <c r="E61" t="s">
        <v>2388</v>
      </c>
      <c r="F61" t="s">
        <v>2168</v>
      </c>
      <c r="G61" t="s">
        <v>2389</v>
      </c>
      <c r="H61" t="s">
        <v>18</v>
      </c>
      <c r="I61" t="s">
        <v>606</v>
      </c>
    </row>
    <row r="62" spans="1:9" ht="11.25" customHeight="1">
      <c r="A62" t="s">
        <v>2160</v>
      </c>
      <c r="B62" t="s">
        <v>14</v>
      </c>
      <c r="C62" t="s">
        <v>2390</v>
      </c>
      <c r="D62" t="s">
        <v>2391</v>
      </c>
      <c r="E62" t="s">
        <v>2392</v>
      </c>
      <c r="F62" t="s">
        <v>2168</v>
      </c>
      <c r="G62" t="s">
        <v>2393</v>
      </c>
      <c r="H62" t="s">
        <v>18</v>
      </c>
      <c r="I62" t="s">
        <v>606</v>
      </c>
    </row>
    <row r="63" spans="1:9" ht="11.25" customHeight="1">
      <c r="A63" t="s">
        <v>2160</v>
      </c>
      <c r="B63" t="s">
        <v>14</v>
      </c>
      <c r="C63" t="s">
        <v>2394</v>
      </c>
      <c r="D63" t="s">
        <v>2395</v>
      </c>
      <c r="E63" t="s">
        <v>2396</v>
      </c>
      <c r="F63" t="s">
        <v>2168</v>
      </c>
      <c r="G63" t="s">
        <v>2389</v>
      </c>
      <c r="H63" t="s">
        <v>18</v>
      </c>
      <c r="I63" t="s">
        <v>606</v>
      </c>
    </row>
    <row r="64" spans="1:9" ht="11.25" customHeight="1">
      <c r="A64" t="s">
        <v>2160</v>
      </c>
      <c r="B64" t="s">
        <v>14</v>
      </c>
      <c r="C64" t="s">
        <v>2397</v>
      </c>
      <c r="D64" t="s">
        <v>2398</v>
      </c>
      <c r="E64" t="s">
        <v>2399</v>
      </c>
      <c r="F64" t="s">
        <v>2230</v>
      </c>
      <c r="G64" t="s">
        <v>18</v>
      </c>
      <c r="H64" t="s">
        <v>18</v>
      </c>
      <c r="I64" t="s">
        <v>606</v>
      </c>
    </row>
    <row r="65" spans="1:9" ht="11.25" customHeight="1">
      <c r="A65" t="s">
        <v>2160</v>
      </c>
      <c r="B65" t="s">
        <v>14</v>
      </c>
      <c r="C65" t="s">
        <v>2400</v>
      </c>
      <c r="D65" t="s">
        <v>2401</v>
      </c>
      <c r="E65" t="s">
        <v>2402</v>
      </c>
      <c r="F65" t="s">
        <v>2192</v>
      </c>
      <c r="G65" t="s">
        <v>2403</v>
      </c>
      <c r="H65" t="s">
        <v>18</v>
      </c>
      <c r="I65" t="s">
        <v>606</v>
      </c>
    </row>
    <row r="66" spans="1:9" ht="11.25" customHeight="1">
      <c r="A66" t="s">
        <v>2160</v>
      </c>
      <c r="B66" t="s">
        <v>14</v>
      </c>
      <c r="C66" t="s">
        <v>2404</v>
      </c>
      <c r="D66" t="s">
        <v>2405</v>
      </c>
      <c r="E66" t="s">
        <v>2406</v>
      </c>
      <c r="F66" t="s">
        <v>2176</v>
      </c>
      <c r="G66" t="s">
        <v>18</v>
      </c>
      <c r="H66" t="s">
        <v>18</v>
      </c>
      <c r="I66" t="s">
        <v>606</v>
      </c>
    </row>
    <row r="67" spans="1:9" ht="11.25" customHeight="1">
      <c r="A67" t="s">
        <v>2160</v>
      </c>
      <c r="B67" t="s">
        <v>14</v>
      </c>
      <c r="C67" t="s">
        <v>2407</v>
      </c>
      <c r="D67" t="s">
        <v>2408</v>
      </c>
      <c r="E67" t="s">
        <v>2409</v>
      </c>
      <c r="F67" t="s">
        <v>2168</v>
      </c>
      <c r="G67" t="s">
        <v>2410</v>
      </c>
      <c r="H67" t="s">
        <v>18</v>
      </c>
      <c r="I67" t="s">
        <v>606</v>
      </c>
    </row>
    <row r="68" spans="1:9" ht="11.25" customHeight="1">
      <c r="A68" t="s">
        <v>2160</v>
      </c>
      <c r="B68" t="s">
        <v>14</v>
      </c>
      <c r="C68" t="s">
        <v>2411</v>
      </c>
      <c r="D68" t="s">
        <v>2412</v>
      </c>
      <c r="E68" t="s">
        <v>2413</v>
      </c>
      <c r="F68" t="s">
        <v>2414</v>
      </c>
      <c r="G68" t="s">
        <v>18</v>
      </c>
      <c r="H68" t="s">
        <v>2415</v>
      </c>
      <c r="I68" t="s">
        <v>606</v>
      </c>
    </row>
    <row r="69" spans="1:9" ht="11.25" customHeight="1">
      <c r="A69" t="s">
        <v>2160</v>
      </c>
      <c r="B69" t="s">
        <v>14</v>
      </c>
      <c r="C69" t="s">
        <v>2416</v>
      </c>
      <c r="D69" t="s">
        <v>2417</v>
      </c>
      <c r="E69" t="s">
        <v>2418</v>
      </c>
      <c r="F69" t="s">
        <v>2371</v>
      </c>
      <c r="G69" t="s">
        <v>18</v>
      </c>
      <c r="H69" t="s">
        <v>18</v>
      </c>
      <c r="I69" t="s">
        <v>606</v>
      </c>
    </row>
    <row r="70" spans="1:9" ht="11.25" customHeight="1">
      <c r="A70" t="s">
        <v>2160</v>
      </c>
      <c r="B70" t="s">
        <v>14</v>
      </c>
      <c r="C70" t="s">
        <v>2419</v>
      </c>
      <c r="D70" t="s">
        <v>2420</v>
      </c>
      <c r="E70" t="s">
        <v>2421</v>
      </c>
      <c r="F70" t="s">
        <v>2422</v>
      </c>
      <c r="G70" t="s">
        <v>18</v>
      </c>
      <c r="H70" t="s">
        <v>18</v>
      </c>
      <c r="I70" t="s">
        <v>606</v>
      </c>
    </row>
    <row r="71" spans="1:9" ht="11.25" customHeight="1">
      <c r="A71" t="s">
        <v>2160</v>
      </c>
      <c r="B71" t="s">
        <v>14</v>
      </c>
      <c r="C71" t="s">
        <v>2423</v>
      </c>
      <c r="D71" t="s">
        <v>2424</v>
      </c>
      <c r="E71" t="s">
        <v>2195</v>
      </c>
      <c r="F71" t="s">
        <v>2425</v>
      </c>
      <c r="G71" t="s">
        <v>18</v>
      </c>
      <c r="H71" t="s">
        <v>18</v>
      </c>
      <c r="I71" t="s">
        <v>606</v>
      </c>
    </row>
    <row r="72" spans="1:9" ht="11.25" customHeight="1">
      <c r="A72" t="s">
        <v>2160</v>
      </c>
      <c r="B72" t="s">
        <v>14</v>
      </c>
      <c r="C72" t="s">
        <v>2426</v>
      </c>
      <c r="D72" t="s">
        <v>2427</v>
      </c>
      <c r="E72" t="s">
        <v>2428</v>
      </c>
      <c r="F72" t="s">
        <v>2196</v>
      </c>
      <c r="G72" t="s">
        <v>18</v>
      </c>
      <c r="H72" t="s">
        <v>18</v>
      </c>
      <c r="I72" t="s">
        <v>606</v>
      </c>
    </row>
    <row r="73" spans="1:9" ht="11.25" customHeight="1">
      <c r="A73" t="s">
        <v>2160</v>
      </c>
      <c r="B73" t="s">
        <v>14</v>
      </c>
      <c r="C73" t="s">
        <v>2429</v>
      </c>
      <c r="D73" t="s">
        <v>2430</v>
      </c>
      <c r="E73" t="s">
        <v>2431</v>
      </c>
      <c r="F73" t="s">
        <v>2168</v>
      </c>
      <c r="G73" t="s">
        <v>18</v>
      </c>
      <c r="H73" t="s">
        <v>18</v>
      </c>
      <c r="I73" t="s">
        <v>606</v>
      </c>
    </row>
    <row r="74" spans="1:9" ht="11.25" customHeight="1">
      <c r="A74" t="s">
        <v>2160</v>
      </c>
      <c r="B74" t="s">
        <v>14</v>
      </c>
      <c r="C74" t="s">
        <v>2432</v>
      </c>
      <c r="D74" t="s">
        <v>2433</v>
      </c>
      <c r="E74" t="s">
        <v>2434</v>
      </c>
      <c r="F74" t="s">
        <v>2246</v>
      </c>
      <c r="G74" t="s">
        <v>2435</v>
      </c>
      <c r="H74" t="s">
        <v>18</v>
      </c>
      <c r="I74" t="s">
        <v>606</v>
      </c>
    </row>
    <row r="75" spans="1:9" ht="11.25" customHeight="1">
      <c r="A75" t="s">
        <v>2160</v>
      </c>
      <c r="B75" t="s">
        <v>14</v>
      </c>
      <c r="C75" t="s">
        <v>2436</v>
      </c>
      <c r="D75" t="s">
        <v>2437</v>
      </c>
      <c r="E75" t="s">
        <v>2438</v>
      </c>
      <c r="F75" t="s">
        <v>2439</v>
      </c>
      <c r="G75" t="s">
        <v>18</v>
      </c>
      <c r="H75" t="s">
        <v>18</v>
      </c>
      <c r="I75" t="s">
        <v>606</v>
      </c>
    </row>
    <row r="76" spans="1:9" ht="11.25" customHeight="1">
      <c r="A76" t="s">
        <v>2160</v>
      </c>
      <c r="B76" t="s">
        <v>14</v>
      </c>
      <c r="C76" t="s">
        <v>2440</v>
      </c>
      <c r="D76" t="s">
        <v>2441</v>
      </c>
      <c r="E76" t="s">
        <v>2421</v>
      </c>
      <c r="F76" t="s">
        <v>2317</v>
      </c>
      <c r="G76" t="s">
        <v>18</v>
      </c>
      <c r="H76" t="s">
        <v>18</v>
      </c>
      <c r="I76" t="s">
        <v>606</v>
      </c>
    </row>
    <row r="77" spans="1:9" ht="11.25" customHeight="1">
      <c r="A77" t="s">
        <v>2160</v>
      </c>
      <c r="B77" t="s">
        <v>14</v>
      </c>
      <c r="C77" t="s">
        <v>2442</v>
      </c>
      <c r="D77" t="s">
        <v>2443</v>
      </c>
      <c r="E77" t="s">
        <v>2444</v>
      </c>
      <c r="F77" t="s">
        <v>2196</v>
      </c>
      <c r="G77" t="s">
        <v>18</v>
      </c>
      <c r="H77" t="s">
        <v>18</v>
      </c>
      <c r="I77" t="s">
        <v>606</v>
      </c>
    </row>
    <row r="78" spans="1:9" ht="11.25" customHeight="1">
      <c r="A78" t="s">
        <v>2160</v>
      </c>
      <c r="B78" t="s">
        <v>14</v>
      </c>
      <c r="C78" t="s">
        <v>2445</v>
      </c>
      <c r="D78" t="s">
        <v>2446</v>
      </c>
      <c r="E78" t="s">
        <v>2447</v>
      </c>
      <c r="F78" t="s">
        <v>2196</v>
      </c>
      <c r="G78" t="s">
        <v>18</v>
      </c>
      <c r="H78" t="s">
        <v>2448</v>
      </c>
      <c r="I78" t="s">
        <v>606</v>
      </c>
    </row>
    <row r="79" spans="1:9" ht="11.25" customHeight="1">
      <c r="A79" t="s">
        <v>2160</v>
      </c>
      <c r="B79" t="s">
        <v>14</v>
      </c>
      <c r="C79" t="s">
        <v>2449</v>
      </c>
      <c r="D79" t="s">
        <v>2450</v>
      </c>
      <c r="E79" t="s">
        <v>2241</v>
      </c>
      <c r="F79" t="s">
        <v>2451</v>
      </c>
      <c r="G79" t="s">
        <v>18</v>
      </c>
      <c r="H79" t="s">
        <v>18</v>
      </c>
      <c r="I79" t="s">
        <v>606</v>
      </c>
    </row>
    <row r="80" spans="1:9" ht="11.25" customHeight="1">
      <c r="A80" t="s">
        <v>2160</v>
      </c>
      <c r="B80" t="s">
        <v>14</v>
      </c>
      <c r="C80" t="s">
        <v>2452</v>
      </c>
      <c r="D80" t="s">
        <v>2453</v>
      </c>
      <c r="E80" t="s">
        <v>2454</v>
      </c>
      <c r="F80" t="s">
        <v>2218</v>
      </c>
      <c r="G80" t="s">
        <v>18</v>
      </c>
      <c r="H80" t="s">
        <v>18</v>
      </c>
      <c r="I80" t="s">
        <v>606</v>
      </c>
    </row>
    <row r="81" spans="1:9" ht="11.25" customHeight="1">
      <c r="A81" t="s">
        <v>2160</v>
      </c>
      <c r="B81" t="s">
        <v>14</v>
      </c>
      <c r="C81" t="s">
        <v>2455</v>
      </c>
      <c r="D81" t="s">
        <v>2456</v>
      </c>
      <c r="E81" t="s">
        <v>2457</v>
      </c>
      <c r="F81" t="s">
        <v>2458</v>
      </c>
      <c r="G81" t="s">
        <v>18</v>
      </c>
      <c r="H81" t="s">
        <v>18</v>
      </c>
      <c r="I81" t="s">
        <v>606</v>
      </c>
    </row>
    <row r="82" spans="1:9" ht="11.25" customHeight="1">
      <c r="A82" t="s">
        <v>2160</v>
      </c>
      <c r="B82" t="s">
        <v>14</v>
      </c>
      <c r="C82" t="s">
        <v>2459</v>
      </c>
      <c r="D82" t="s">
        <v>2460</v>
      </c>
      <c r="E82" t="s">
        <v>2461</v>
      </c>
      <c r="F82" t="s">
        <v>2385</v>
      </c>
      <c r="G82" t="s">
        <v>2462</v>
      </c>
      <c r="H82" t="s">
        <v>18</v>
      </c>
      <c r="I82" t="s">
        <v>606</v>
      </c>
    </row>
    <row r="83" spans="1:9" ht="11.25" customHeight="1">
      <c r="A83" t="s">
        <v>2160</v>
      </c>
      <c r="B83" t="s">
        <v>14</v>
      </c>
      <c r="C83" t="s">
        <v>2463</v>
      </c>
      <c r="D83" t="s">
        <v>2464</v>
      </c>
      <c r="E83" t="s">
        <v>2465</v>
      </c>
      <c r="F83" t="s">
        <v>2466</v>
      </c>
      <c r="G83" t="s">
        <v>2467</v>
      </c>
      <c r="H83" t="s">
        <v>18</v>
      </c>
      <c r="I83" t="s">
        <v>606</v>
      </c>
    </row>
    <row r="84" spans="1:9" ht="11.25" customHeight="1">
      <c r="A84" t="s">
        <v>2160</v>
      </c>
      <c r="B84" t="s">
        <v>14</v>
      </c>
      <c r="C84" t="s">
        <v>2468</v>
      </c>
      <c r="D84" t="s">
        <v>2464</v>
      </c>
      <c r="E84" t="s">
        <v>2465</v>
      </c>
      <c r="F84" t="s">
        <v>2469</v>
      </c>
      <c r="G84" t="s">
        <v>18</v>
      </c>
      <c r="H84" t="s">
        <v>18</v>
      </c>
      <c r="I84" t="s">
        <v>606</v>
      </c>
    </row>
    <row r="85" spans="1:9" ht="11.25" customHeight="1">
      <c r="A85" t="s">
        <v>2160</v>
      </c>
      <c r="B85" t="s">
        <v>14</v>
      </c>
      <c r="C85" t="s">
        <v>2470</v>
      </c>
      <c r="D85" t="s">
        <v>2471</v>
      </c>
      <c r="E85" t="s">
        <v>2163</v>
      </c>
      <c r="F85" t="s">
        <v>2472</v>
      </c>
      <c r="G85" t="s">
        <v>18</v>
      </c>
      <c r="H85" t="s">
        <v>18</v>
      </c>
      <c r="I85" t="s">
        <v>606</v>
      </c>
    </row>
    <row r="86" spans="1:9" ht="11.25" customHeight="1">
      <c r="A86" t="s">
        <v>2160</v>
      </c>
      <c r="B86" t="s">
        <v>14</v>
      </c>
      <c r="C86" t="s">
        <v>2473</v>
      </c>
      <c r="D86" t="s">
        <v>2474</v>
      </c>
      <c r="E86" t="s">
        <v>2163</v>
      </c>
      <c r="F86" t="s">
        <v>2475</v>
      </c>
      <c r="G86" t="s">
        <v>18</v>
      </c>
      <c r="H86" t="s">
        <v>18</v>
      </c>
      <c r="I86" t="s">
        <v>606</v>
      </c>
    </row>
    <row r="87" spans="1:9" ht="11.25" customHeight="1">
      <c r="A87" t="s">
        <v>2160</v>
      </c>
      <c r="B87" t="s">
        <v>14</v>
      </c>
      <c r="C87" t="s">
        <v>2476</v>
      </c>
      <c r="D87" t="s">
        <v>2477</v>
      </c>
      <c r="E87" t="s">
        <v>2163</v>
      </c>
      <c r="F87" t="s">
        <v>2478</v>
      </c>
      <c r="G87" t="s">
        <v>18</v>
      </c>
      <c r="H87" t="s">
        <v>18</v>
      </c>
      <c r="I87" t="s">
        <v>606</v>
      </c>
    </row>
    <row r="88" spans="1:9" ht="11.25" customHeight="1">
      <c r="A88" t="s">
        <v>2160</v>
      </c>
      <c r="B88" t="s">
        <v>14</v>
      </c>
      <c r="C88" t="s">
        <v>2479</v>
      </c>
      <c r="D88" t="s">
        <v>2480</v>
      </c>
      <c r="E88" t="s">
        <v>2163</v>
      </c>
      <c r="F88" t="s">
        <v>2481</v>
      </c>
      <c r="G88" t="s">
        <v>18</v>
      </c>
      <c r="H88" t="s">
        <v>18</v>
      </c>
      <c r="I88" t="s">
        <v>606</v>
      </c>
    </row>
    <row r="89" spans="1:9" ht="11.25" customHeight="1">
      <c r="A89" t="s">
        <v>2160</v>
      </c>
      <c r="B89" t="s">
        <v>14</v>
      </c>
      <c r="C89" t="s">
        <v>2482</v>
      </c>
      <c r="D89" t="s">
        <v>2483</v>
      </c>
      <c r="E89" t="s">
        <v>2163</v>
      </c>
      <c r="F89" t="s">
        <v>2484</v>
      </c>
      <c r="G89" t="s">
        <v>18</v>
      </c>
      <c r="H89" t="s">
        <v>18</v>
      </c>
      <c r="I89" t="s">
        <v>606</v>
      </c>
    </row>
    <row r="90" spans="1:9" ht="11.25" customHeight="1">
      <c r="A90" t="s">
        <v>2160</v>
      </c>
      <c r="B90" t="s">
        <v>14</v>
      </c>
      <c r="C90" t="s">
        <v>2485</v>
      </c>
      <c r="D90" t="s">
        <v>2486</v>
      </c>
      <c r="E90" t="s">
        <v>2163</v>
      </c>
      <c r="F90" t="s">
        <v>2487</v>
      </c>
      <c r="G90" t="s">
        <v>18</v>
      </c>
      <c r="H90" t="s">
        <v>18</v>
      </c>
      <c r="I90" t="s">
        <v>606</v>
      </c>
    </row>
    <row r="91" spans="1:9" ht="11.25" customHeight="1">
      <c r="A91" t="s">
        <v>2160</v>
      </c>
      <c r="B91" t="s">
        <v>14</v>
      </c>
      <c r="C91" t="s">
        <v>2488</v>
      </c>
      <c r="D91" t="s">
        <v>2489</v>
      </c>
      <c r="E91" t="s">
        <v>2163</v>
      </c>
      <c r="F91" t="s">
        <v>2490</v>
      </c>
      <c r="G91" t="s">
        <v>18</v>
      </c>
      <c r="H91" t="s">
        <v>18</v>
      </c>
      <c r="I91" t="s">
        <v>606</v>
      </c>
    </row>
    <row r="92" spans="1:9" ht="11.25" customHeight="1">
      <c r="A92" t="s">
        <v>2160</v>
      </c>
      <c r="B92" t="s">
        <v>14</v>
      </c>
      <c r="C92" t="s">
        <v>2491</v>
      </c>
      <c r="D92" t="s">
        <v>2492</v>
      </c>
      <c r="E92" t="s">
        <v>2163</v>
      </c>
      <c r="F92" t="s">
        <v>2493</v>
      </c>
      <c r="G92" t="s">
        <v>18</v>
      </c>
      <c r="H92" t="s">
        <v>18</v>
      </c>
      <c r="I92" t="s">
        <v>606</v>
      </c>
    </row>
    <row r="93" spans="1:9" ht="11.25" customHeight="1">
      <c r="A93" t="s">
        <v>2160</v>
      </c>
      <c r="B93" t="s">
        <v>14</v>
      </c>
      <c r="C93" t="s">
        <v>2494</v>
      </c>
      <c r="D93" t="s">
        <v>2495</v>
      </c>
      <c r="E93" t="s">
        <v>2163</v>
      </c>
      <c r="F93" t="s">
        <v>2496</v>
      </c>
      <c r="G93" t="s">
        <v>18</v>
      </c>
      <c r="H93" t="s">
        <v>18</v>
      </c>
      <c r="I93" t="s">
        <v>606</v>
      </c>
    </row>
    <row r="94" spans="1:9" ht="11.25" customHeight="1">
      <c r="A94" t="s">
        <v>2160</v>
      </c>
      <c r="B94" t="s">
        <v>14</v>
      </c>
      <c r="C94" t="s">
        <v>2497</v>
      </c>
      <c r="D94" t="s">
        <v>2498</v>
      </c>
      <c r="E94" t="s">
        <v>2163</v>
      </c>
      <c r="F94" t="s">
        <v>2499</v>
      </c>
      <c r="G94" t="s">
        <v>18</v>
      </c>
      <c r="H94" t="s">
        <v>18</v>
      </c>
      <c r="I94" t="s">
        <v>606</v>
      </c>
    </row>
    <row r="95" spans="1:9" ht="11.25" customHeight="1">
      <c r="A95" t="s">
        <v>2160</v>
      </c>
      <c r="B95" t="s">
        <v>14</v>
      </c>
      <c r="C95" t="s">
        <v>2500</v>
      </c>
      <c r="D95" t="s">
        <v>2501</v>
      </c>
      <c r="E95" t="s">
        <v>2163</v>
      </c>
      <c r="F95" t="s">
        <v>2502</v>
      </c>
      <c r="G95" t="s">
        <v>18</v>
      </c>
      <c r="H95" t="s">
        <v>18</v>
      </c>
      <c r="I95" t="s">
        <v>606</v>
      </c>
    </row>
    <row r="96" spans="1:9" ht="11.25" customHeight="1">
      <c r="A96" t="s">
        <v>2160</v>
      </c>
      <c r="B96" t="s">
        <v>14</v>
      </c>
      <c r="C96" t="s">
        <v>2503</v>
      </c>
      <c r="D96" t="s">
        <v>2504</v>
      </c>
      <c r="E96" t="s">
        <v>2505</v>
      </c>
      <c r="F96" t="s">
        <v>2506</v>
      </c>
      <c r="G96" t="s">
        <v>18</v>
      </c>
      <c r="H96" t="s">
        <v>18</v>
      </c>
      <c r="I96" t="s">
        <v>606</v>
      </c>
    </row>
    <row r="97" spans="1:9" ht="11.25" customHeight="1">
      <c r="A97" t="s">
        <v>2160</v>
      </c>
      <c r="B97" t="s">
        <v>14</v>
      </c>
      <c r="C97" t="s">
        <v>2507</v>
      </c>
      <c r="D97" t="s">
        <v>2508</v>
      </c>
      <c r="E97" t="s">
        <v>2505</v>
      </c>
      <c r="F97" t="s">
        <v>2509</v>
      </c>
      <c r="G97" t="s">
        <v>18</v>
      </c>
      <c r="H97" t="s">
        <v>18</v>
      </c>
      <c r="I97" t="s">
        <v>606</v>
      </c>
    </row>
    <row r="98" spans="1:9" ht="11.25" customHeight="1">
      <c r="A98" t="s">
        <v>2160</v>
      </c>
      <c r="B98" t="s">
        <v>14</v>
      </c>
      <c r="C98" t="s">
        <v>2510</v>
      </c>
      <c r="D98" t="s">
        <v>2511</v>
      </c>
      <c r="E98" t="s">
        <v>2505</v>
      </c>
      <c r="F98" t="s">
        <v>2512</v>
      </c>
      <c r="G98" t="s">
        <v>18</v>
      </c>
      <c r="H98" t="s">
        <v>18</v>
      </c>
      <c r="I98" t="s">
        <v>606</v>
      </c>
    </row>
    <row r="99" spans="1:9" ht="11.25" customHeight="1">
      <c r="A99" t="s">
        <v>2160</v>
      </c>
      <c r="B99" t="s">
        <v>14</v>
      </c>
      <c r="C99" t="s">
        <v>2513</v>
      </c>
      <c r="D99" t="s">
        <v>2514</v>
      </c>
      <c r="E99" t="s">
        <v>2505</v>
      </c>
      <c r="F99" t="s">
        <v>2515</v>
      </c>
      <c r="G99" t="s">
        <v>18</v>
      </c>
      <c r="H99" t="s">
        <v>18</v>
      </c>
      <c r="I99" t="s">
        <v>606</v>
      </c>
    </row>
    <row r="100" spans="1:9" ht="11.25" customHeight="1">
      <c r="A100" t="s">
        <v>2160</v>
      </c>
      <c r="B100" t="s">
        <v>14</v>
      </c>
      <c r="C100" t="s">
        <v>2516</v>
      </c>
      <c r="D100" t="s">
        <v>2517</v>
      </c>
      <c r="E100" t="s">
        <v>2518</v>
      </c>
      <c r="F100" t="s">
        <v>52</v>
      </c>
      <c r="G100" t="s">
        <v>2519</v>
      </c>
      <c r="H100" t="s">
        <v>18</v>
      </c>
      <c r="I100" t="s">
        <v>606</v>
      </c>
    </row>
    <row r="101" spans="1:9" ht="11.25" customHeight="1">
      <c r="A101" t="s">
        <v>2160</v>
      </c>
      <c r="B101" t="s">
        <v>14</v>
      </c>
      <c r="C101" t="s">
        <v>2520</v>
      </c>
      <c r="D101" t="s">
        <v>2521</v>
      </c>
      <c r="E101" t="s">
        <v>2522</v>
      </c>
      <c r="F101" t="s">
        <v>2266</v>
      </c>
      <c r="G101" t="s">
        <v>18</v>
      </c>
      <c r="H101" t="s">
        <v>2523</v>
      </c>
      <c r="I101" t="s">
        <v>606</v>
      </c>
    </row>
    <row r="102" spans="1:9" ht="11.25" customHeight="1">
      <c r="A102" t="s">
        <v>2160</v>
      </c>
      <c r="B102" t="s">
        <v>14</v>
      </c>
      <c r="C102" t="s">
        <v>2524</v>
      </c>
      <c r="D102" t="s">
        <v>2525</v>
      </c>
      <c r="E102" t="s">
        <v>2526</v>
      </c>
      <c r="F102" t="s">
        <v>2176</v>
      </c>
      <c r="G102" t="s">
        <v>18</v>
      </c>
      <c r="H102" t="s">
        <v>18</v>
      </c>
      <c r="I102" t="s">
        <v>606</v>
      </c>
    </row>
    <row r="103" spans="1:9" ht="11.25" customHeight="1">
      <c r="A103" t="s">
        <v>2160</v>
      </c>
      <c r="B103" t="s">
        <v>14</v>
      </c>
      <c r="C103" t="s">
        <v>2527</v>
      </c>
      <c r="D103" t="s">
        <v>2528</v>
      </c>
      <c r="E103" t="s">
        <v>2529</v>
      </c>
      <c r="F103" t="s">
        <v>2176</v>
      </c>
      <c r="G103" t="s">
        <v>18</v>
      </c>
      <c r="H103" t="s">
        <v>18</v>
      </c>
      <c r="I103" t="s">
        <v>606</v>
      </c>
    </row>
    <row r="104" spans="1:9" ht="11.25" customHeight="1">
      <c r="A104" t="s">
        <v>2160</v>
      </c>
      <c r="B104" t="s">
        <v>14</v>
      </c>
      <c r="C104" t="s">
        <v>2530</v>
      </c>
      <c r="D104" t="s">
        <v>47</v>
      </c>
      <c r="E104" t="s">
        <v>50</v>
      </c>
      <c r="F104" t="s">
        <v>52</v>
      </c>
      <c r="G104" t="s">
        <v>2519</v>
      </c>
      <c r="H104" t="s">
        <v>18</v>
      </c>
      <c r="I104" t="s">
        <v>606</v>
      </c>
    </row>
    <row r="105" spans="1:9" ht="11.25" customHeight="1">
      <c r="A105" t="s">
        <v>2160</v>
      </c>
      <c r="B105" t="s">
        <v>14</v>
      </c>
      <c r="C105" t="s">
        <v>2531</v>
      </c>
      <c r="D105" t="s">
        <v>2532</v>
      </c>
      <c r="E105" t="s">
        <v>2171</v>
      </c>
      <c r="F105" t="s">
        <v>2533</v>
      </c>
      <c r="G105" t="s">
        <v>18</v>
      </c>
      <c r="H105" t="s">
        <v>18</v>
      </c>
      <c r="I105" t="s">
        <v>606</v>
      </c>
    </row>
    <row r="106" spans="1:9" ht="11.25" customHeight="1">
      <c r="A106" t="s">
        <v>2160</v>
      </c>
      <c r="B106" t="s">
        <v>14</v>
      </c>
      <c r="C106" t="s">
        <v>2534</v>
      </c>
      <c r="D106" t="s">
        <v>2535</v>
      </c>
      <c r="E106" t="s">
        <v>2171</v>
      </c>
      <c r="F106" t="s">
        <v>2317</v>
      </c>
      <c r="G106" t="s">
        <v>18</v>
      </c>
      <c r="H106" t="s">
        <v>18</v>
      </c>
      <c r="I106" t="s">
        <v>606</v>
      </c>
    </row>
    <row r="107" spans="1:9" ht="11.25" customHeight="1">
      <c r="A107" t="s">
        <v>2160</v>
      </c>
      <c r="B107" t="s">
        <v>14</v>
      </c>
      <c r="C107" t="s">
        <v>2536</v>
      </c>
      <c r="D107" t="s">
        <v>2537</v>
      </c>
      <c r="E107" t="s">
        <v>2538</v>
      </c>
      <c r="F107" t="s">
        <v>2539</v>
      </c>
      <c r="G107" t="s">
        <v>18</v>
      </c>
      <c r="H107" t="s">
        <v>18</v>
      </c>
      <c r="I107" t="s">
        <v>606</v>
      </c>
    </row>
    <row r="108" spans="1:9" ht="11.25" customHeight="1">
      <c r="A108" t="s">
        <v>2160</v>
      </c>
      <c r="B108" t="s">
        <v>14</v>
      </c>
      <c r="C108" t="s">
        <v>2540</v>
      </c>
      <c r="D108" t="s">
        <v>2537</v>
      </c>
      <c r="E108" t="s">
        <v>2538</v>
      </c>
      <c r="F108" t="s">
        <v>2541</v>
      </c>
      <c r="G108" t="s">
        <v>2542</v>
      </c>
      <c r="H108" t="s">
        <v>18</v>
      </c>
      <c r="I108" t="s">
        <v>606</v>
      </c>
    </row>
    <row r="109" spans="1:9" ht="11.25" customHeight="1">
      <c r="A109" t="s">
        <v>2160</v>
      </c>
      <c r="B109" t="s">
        <v>14</v>
      </c>
      <c r="C109" t="s">
        <v>2543</v>
      </c>
      <c r="D109" t="s">
        <v>2544</v>
      </c>
      <c r="E109" t="s">
        <v>2545</v>
      </c>
      <c r="F109" t="s">
        <v>2176</v>
      </c>
      <c r="G109" t="s">
        <v>2546</v>
      </c>
      <c r="H109" t="s">
        <v>18</v>
      </c>
      <c r="I109" t="s">
        <v>606</v>
      </c>
    </row>
    <row r="110" spans="1:9" ht="11.25" customHeight="1">
      <c r="A110" t="s">
        <v>2160</v>
      </c>
      <c r="B110" t="s">
        <v>14</v>
      </c>
      <c r="C110" t="s">
        <v>2547</v>
      </c>
      <c r="D110" t="s">
        <v>2548</v>
      </c>
      <c r="E110" t="s">
        <v>2549</v>
      </c>
      <c r="F110" t="s">
        <v>2218</v>
      </c>
      <c r="G110" t="s">
        <v>2550</v>
      </c>
      <c r="H110" t="s">
        <v>18</v>
      </c>
      <c r="I110" t="s">
        <v>606</v>
      </c>
    </row>
    <row r="111" spans="1:9" ht="11.25" customHeight="1">
      <c r="A111" t="s">
        <v>2160</v>
      </c>
      <c r="B111" t="s">
        <v>14</v>
      </c>
      <c r="C111" t="s">
        <v>2551</v>
      </c>
      <c r="D111" t="s">
        <v>2552</v>
      </c>
      <c r="E111" t="s">
        <v>2553</v>
      </c>
      <c r="F111" t="s">
        <v>2230</v>
      </c>
      <c r="G111" t="s">
        <v>18</v>
      </c>
      <c r="H111" t="s">
        <v>18</v>
      </c>
      <c r="I111" t="s">
        <v>606</v>
      </c>
    </row>
    <row r="112" spans="1:9" ht="11.25" customHeight="1">
      <c r="A112" t="s">
        <v>2160</v>
      </c>
      <c r="B112" t="s">
        <v>14</v>
      </c>
      <c r="C112" t="s">
        <v>2554</v>
      </c>
      <c r="D112" t="s">
        <v>2555</v>
      </c>
      <c r="E112" t="s">
        <v>2556</v>
      </c>
      <c r="F112" t="s">
        <v>2214</v>
      </c>
      <c r="G112" t="s">
        <v>18</v>
      </c>
      <c r="H112" t="s">
        <v>18</v>
      </c>
      <c r="I112" t="s">
        <v>606</v>
      </c>
    </row>
    <row r="113" spans="1:9" ht="11.25" customHeight="1">
      <c r="A113" t="s">
        <v>2160</v>
      </c>
      <c r="B113" t="s">
        <v>14</v>
      </c>
      <c r="C113" t="s">
        <v>2557</v>
      </c>
      <c r="D113" t="s">
        <v>2558</v>
      </c>
      <c r="E113" t="s">
        <v>2559</v>
      </c>
      <c r="F113" t="s">
        <v>2223</v>
      </c>
      <c r="G113" t="s">
        <v>18</v>
      </c>
      <c r="H113" t="s">
        <v>18</v>
      </c>
      <c r="I113" t="s">
        <v>606</v>
      </c>
    </row>
    <row r="114" spans="1:9" ht="11.25" customHeight="1">
      <c r="A114" t="s">
        <v>2160</v>
      </c>
      <c r="B114" t="s">
        <v>14</v>
      </c>
      <c r="C114" t="s">
        <v>2560</v>
      </c>
      <c r="D114" t="s">
        <v>2561</v>
      </c>
      <c r="E114" t="s">
        <v>2562</v>
      </c>
      <c r="F114" t="s">
        <v>2356</v>
      </c>
      <c r="G114" t="s">
        <v>18</v>
      </c>
      <c r="H114" t="s">
        <v>18</v>
      </c>
      <c r="I114" t="s">
        <v>606</v>
      </c>
    </row>
    <row r="115" spans="1:9" ht="11.25" customHeight="1">
      <c r="A115" t="s">
        <v>2160</v>
      </c>
      <c r="B115" t="s">
        <v>14</v>
      </c>
      <c r="C115" t="s">
        <v>2563</v>
      </c>
      <c r="D115" t="s">
        <v>2564</v>
      </c>
      <c r="E115" t="s">
        <v>2565</v>
      </c>
      <c r="F115" t="s">
        <v>2266</v>
      </c>
      <c r="G115" t="s">
        <v>18</v>
      </c>
      <c r="H115" t="s">
        <v>18</v>
      </c>
      <c r="I115" t="s">
        <v>606</v>
      </c>
    </row>
    <row r="116" spans="1:9" ht="11.25" customHeight="1">
      <c r="A116" t="s">
        <v>2160</v>
      </c>
      <c r="B116" t="s">
        <v>14</v>
      </c>
      <c r="C116" t="s">
        <v>2566</v>
      </c>
      <c r="D116" t="s">
        <v>2567</v>
      </c>
      <c r="E116" t="s">
        <v>2568</v>
      </c>
      <c r="F116" t="s">
        <v>2168</v>
      </c>
      <c r="G116" t="s">
        <v>2569</v>
      </c>
      <c r="H116" t="s">
        <v>18</v>
      </c>
      <c r="I116" t="s">
        <v>606</v>
      </c>
    </row>
    <row r="117" spans="1:9" ht="11.25" customHeight="1">
      <c r="A117" t="s">
        <v>2160</v>
      </c>
      <c r="B117" t="s">
        <v>14</v>
      </c>
      <c r="C117" t="s">
        <v>2570</v>
      </c>
      <c r="D117" t="s">
        <v>2571</v>
      </c>
      <c r="E117" t="s">
        <v>2572</v>
      </c>
      <c r="F117" t="s">
        <v>2414</v>
      </c>
      <c r="G117" t="s">
        <v>18</v>
      </c>
      <c r="H117" t="s">
        <v>2573</v>
      </c>
      <c r="I117" t="s">
        <v>606</v>
      </c>
    </row>
    <row r="118" spans="1:9" ht="11.25" customHeight="1">
      <c r="A118" t="s">
        <v>2160</v>
      </c>
      <c r="B118" t="s">
        <v>14</v>
      </c>
      <c r="C118" t="s">
        <v>2574</v>
      </c>
      <c r="D118" t="s">
        <v>2575</v>
      </c>
      <c r="E118" t="s">
        <v>2576</v>
      </c>
      <c r="F118" t="s">
        <v>2414</v>
      </c>
      <c r="G118" t="s">
        <v>18</v>
      </c>
      <c r="H118" t="s">
        <v>18</v>
      </c>
      <c r="I118" t="s">
        <v>606</v>
      </c>
    </row>
    <row r="119" spans="1:9" ht="11.25" customHeight="1">
      <c r="A119" t="s">
        <v>2160</v>
      </c>
      <c r="B119" t="s">
        <v>14</v>
      </c>
      <c r="C119" t="s">
        <v>2577</v>
      </c>
      <c r="D119" t="s">
        <v>2578</v>
      </c>
      <c r="E119" t="s">
        <v>2579</v>
      </c>
      <c r="F119" t="s">
        <v>2196</v>
      </c>
      <c r="G119" t="s">
        <v>2580</v>
      </c>
      <c r="H119" t="s">
        <v>18</v>
      </c>
      <c r="I119" t="s">
        <v>606</v>
      </c>
    </row>
    <row r="120" spans="1:9" ht="11.25" customHeight="1">
      <c r="A120" t="s">
        <v>2160</v>
      </c>
      <c r="B120" t="s">
        <v>14</v>
      </c>
      <c r="C120" t="s">
        <v>2581</v>
      </c>
      <c r="D120" t="s">
        <v>2582</v>
      </c>
      <c r="E120" t="s">
        <v>2583</v>
      </c>
      <c r="F120" t="s">
        <v>2364</v>
      </c>
      <c r="G120" t="s">
        <v>18</v>
      </c>
      <c r="H120" t="s">
        <v>18</v>
      </c>
      <c r="I120" t="s">
        <v>606</v>
      </c>
    </row>
    <row r="121" spans="1:9" ht="11.25" customHeight="1">
      <c r="A121" t="s">
        <v>2160</v>
      </c>
      <c r="B121" t="s">
        <v>14</v>
      </c>
      <c r="C121" t="s">
        <v>2584</v>
      </c>
      <c r="D121" t="s">
        <v>2585</v>
      </c>
      <c r="E121" t="s">
        <v>2586</v>
      </c>
      <c r="F121" t="s">
        <v>2312</v>
      </c>
      <c r="G121" t="s">
        <v>18</v>
      </c>
      <c r="H121" t="s">
        <v>18</v>
      </c>
      <c r="I121" t="s">
        <v>606</v>
      </c>
    </row>
    <row r="122" spans="1:9" ht="11.25" customHeight="1">
      <c r="A122" t="s">
        <v>2160</v>
      </c>
      <c r="B122" t="s">
        <v>14</v>
      </c>
      <c r="C122" t="s">
        <v>2587</v>
      </c>
      <c r="D122" t="s">
        <v>2588</v>
      </c>
      <c r="E122" t="s">
        <v>2589</v>
      </c>
      <c r="F122" t="s">
        <v>2196</v>
      </c>
      <c r="G122" t="s">
        <v>2590</v>
      </c>
      <c r="H122" t="s">
        <v>18</v>
      </c>
      <c r="I122" t="s">
        <v>606</v>
      </c>
    </row>
    <row r="123" spans="1:9" ht="11.25" customHeight="1">
      <c r="A123" t="s">
        <v>2160</v>
      </c>
      <c r="B123" t="s">
        <v>14</v>
      </c>
      <c r="C123" t="s">
        <v>2591</v>
      </c>
      <c r="D123" t="s">
        <v>2592</v>
      </c>
      <c r="E123" t="s">
        <v>2593</v>
      </c>
      <c r="F123" t="s">
        <v>2196</v>
      </c>
      <c r="G123" t="s">
        <v>18</v>
      </c>
      <c r="H123" t="s">
        <v>18</v>
      </c>
      <c r="I123" t="s">
        <v>606</v>
      </c>
    </row>
    <row r="124" spans="1:9" ht="11.25" customHeight="1">
      <c r="A124" t="s">
        <v>2160</v>
      </c>
      <c r="B124" t="s">
        <v>14</v>
      </c>
      <c r="C124" t="s">
        <v>2594</v>
      </c>
      <c r="D124" t="s">
        <v>2595</v>
      </c>
      <c r="E124" t="s">
        <v>2596</v>
      </c>
      <c r="F124" t="s">
        <v>2364</v>
      </c>
      <c r="G124" t="s">
        <v>18</v>
      </c>
      <c r="H124" t="s">
        <v>18</v>
      </c>
      <c r="I124" t="s">
        <v>606</v>
      </c>
    </row>
    <row r="125" spans="1:9" ht="11.25" customHeight="1">
      <c r="A125" t="s">
        <v>2160</v>
      </c>
      <c r="B125" t="s">
        <v>14</v>
      </c>
      <c r="C125" t="s">
        <v>2597</v>
      </c>
      <c r="D125" t="s">
        <v>2598</v>
      </c>
      <c r="E125" t="s">
        <v>2599</v>
      </c>
      <c r="F125" t="s">
        <v>2414</v>
      </c>
      <c r="G125" t="s">
        <v>18</v>
      </c>
      <c r="H125" t="s">
        <v>18</v>
      </c>
      <c r="I125" t="s">
        <v>606</v>
      </c>
    </row>
    <row r="126" spans="1:9" ht="11.25" customHeight="1">
      <c r="A126" t="s">
        <v>2160</v>
      </c>
      <c r="B126" t="s">
        <v>14</v>
      </c>
      <c r="C126" t="s">
        <v>2600</v>
      </c>
      <c r="D126" t="s">
        <v>2601</v>
      </c>
      <c r="E126" t="s">
        <v>2602</v>
      </c>
      <c r="F126" t="s">
        <v>2414</v>
      </c>
      <c r="G126" t="s">
        <v>18</v>
      </c>
      <c r="H126" t="s">
        <v>2603</v>
      </c>
      <c r="I126" t="s">
        <v>606</v>
      </c>
    </row>
    <row r="127" spans="1:9" ht="11.25" customHeight="1">
      <c r="A127" t="s">
        <v>2160</v>
      </c>
      <c r="B127" t="s">
        <v>14</v>
      </c>
      <c r="C127" t="s">
        <v>2604</v>
      </c>
      <c r="D127" t="s">
        <v>2605</v>
      </c>
      <c r="E127" t="s">
        <v>2606</v>
      </c>
      <c r="F127" t="s">
        <v>2196</v>
      </c>
      <c r="G127" t="s">
        <v>18</v>
      </c>
      <c r="H127" t="s">
        <v>18</v>
      </c>
      <c r="I127" t="s">
        <v>606</v>
      </c>
    </row>
    <row r="128" spans="1:9" ht="11.25" customHeight="1">
      <c r="A128" t="s">
        <v>2160</v>
      </c>
      <c r="B128" t="s">
        <v>14</v>
      </c>
      <c r="C128" t="s">
        <v>2607</v>
      </c>
      <c r="D128" t="s">
        <v>2608</v>
      </c>
      <c r="E128" t="s">
        <v>2609</v>
      </c>
      <c r="F128" t="s">
        <v>2266</v>
      </c>
      <c r="G128" t="s">
        <v>2610</v>
      </c>
      <c r="H128" t="s">
        <v>18</v>
      </c>
      <c r="I128" t="s">
        <v>606</v>
      </c>
    </row>
    <row r="129" spans="1:9" ht="11.25" customHeight="1">
      <c r="A129" t="s">
        <v>2160</v>
      </c>
      <c r="B129" t="s">
        <v>14</v>
      </c>
      <c r="C129" t="s">
        <v>2611</v>
      </c>
      <c r="D129" t="s">
        <v>2612</v>
      </c>
      <c r="E129" t="s">
        <v>2613</v>
      </c>
      <c r="F129" t="s">
        <v>2196</v>
      </c>
      <c r="G129" t="s">
        <v>18</v>
      </c>
      <c r="H129" t="s">
        <v>18</v>
      </c>
      <c r="I129" t="s">
        <v>606</v>
      </c>
    </row>
    <row r="130" spans="1:9" ht="11.25" customHeight="1">
      <c r="A130" t="s">
        <v>2160</v>
      </c>
      <c r="B130" t="s">
        <v>14</v>
      </c>
      <c r="C130" t="s">
        <v>2614</v>
      </c>
      <c r="D130" t="s">
        <v>2615</v>
      </c>
      <c r="E130" t="s">
        <v>2616</v>
      </c>
      <c r="F130" t="s">
        <v>2251</v>
      </c>
      <c r="G130" t="s">
        <v>18</v>
      </c>
      <c r="H130" t="s">
        <v>18</v>
      </c>
      <c r="I130" t="s">
        <v>606</v>
      </c>
    </row>
    <row r="131" spans="1:9" ht="11.25" customHeight="1">
      <c r="A131" t="s">
        <v>2160</v>
      </c>
      <c r="B131" t="s">
        <v>14</v>
      </c>
      <c r="C131" t="s">
        <v>2617</v>
      </c>
      <c r="D131" t="s">
        <v>2618</v>
      </c>
      <c r="E131" t="s">
        <v>2619</v>
      </c>
      <c r="F131" t="s">
        <v>2620</v>
      </c>
      <c r="G131" t="s">
        <v>2621</v>
      </c>
      <c r="H131" t="s">
        <v>18</v>
      </c>
      <c r="I131" t="s">
        <v>606</v>
      </c>
    </row>
    <row r="132" spans="1:9" ht="11.25" customHeight="1">
      <c r="A132" t="s">
        <v>2160</v>
      </c>
      <c r="B132" t="s">
        <v>14</v>
      </c>
      <c r="C132" t="s">
        <v>2622</v>
      </c>
      <c r="D132" t="s">
        <v>2623</v>
      </c>
      <c r="E132" t="s">
        <v>2624</v>
      </c>
      <c r="F132" t="s">
        <v>2414</v>
      </c>
      <c r="G132" t="s">
        <v>18</v>
      </c>
      <c r="H132" t="s">
        <v>18</v>
      </c>
      <c r="I132" t="s">
        <v>606</v>
      </c>
    </row>
    <row r="133" spans="1:9" ht="11.25" customHeight="1">
      <c r="A133" t="s">
        <v>2160</v>
      </c>
      <c r="B133" t="s">
        <v>14</v>
      </c>
      <c r="C133" t="s">
        <v>2625</v>
      </c>
      <c r="D133" t="s">
        <v>2626</v>
      </c>
      <c r="E133" t="s">
        <v>2163</v>
      </c>
      <c r="F133" t="s">
        <v>2627</v>
      </c>
      <c r="G133" t="s">
        <v>2628</v>
      </c>
      <c r="H133" t="s">
        <v>18</v>
      </c>
      <c r="I133" t="s">
        <v>606</v>
      </c>
    </row>
    <row r="134" spans="1:9" ht="11.25" customHeight="1">
      <c r="A134" t="s">
        <v>2160</v>
      </c>
      <c r="B134" t="s">
        <v>14</v>
      </c>
      <c r="C134" t="s">
        <v>2629</v>
      </c>
      <c r="D134" t="s">
        <v>2630</v>
      </c>
      <c r="E134" t="s">
        <v>2631</v>
      </c>
      <c r="F134" t="s">
        <v>2632</v>
      </c>
      <c r="G134" t="s">
        <v>2633</v>
      </c>
      <c r="H134" t="s">
        <v>18</v>
      </c>
      <c r="I134" t="s">
        <v>606</v>
      </c>
    </row>
    <row r="135" spans="1:9" ht="11.25" customHeight="1">
      <c r="A135" t="s">
        <v>2160</v>
      </c>
      <c r="B135" t="s">
        <v>14</v>
      </c>
      <c r="C135" t="s">
        <v>2634</v>
      </c>
      <c r="D135" t="s">
        <v>2635</v>
      </c>
      <c r="E135" t="s">
        <v>2636</v>
      </c>
      <c r="F135" t="s">
        <v>2196</v>
      </c>
      <c r="G135" t="s">
        <v>18</v>
      </c>
      <c r="H135" t="s">
        <v>18</v>
      </c>
      <c r="I135" t="s">
        <v>606</v>
      </c>
    </row>
    <row r="136" spans="1:9" ht="11.25" customHeight="1">
      <c r="A136" t="s">
        <v>2160</v>
      </c>
      <c r="B136" t="s">
        <v>14</v>
      </c>
      <c r="C136" t="s">
        <v>2637</v>
      </c>
      <c r="D136" t="s">
        <v>2638</v>
      </c>
      <c r="E136" t="s">
        <v>2639</v>
      </c>
      <c r="F136" t="s">
        <v>2168</v>
      </c>
      <c r="G136" t="s">
        <v>18</v>
      </c>
      <c r="H136" t="s">
        <v>18</v>
      </c>
      <c r="I136" t="s">
        <v>606</v>
      </c>
    </row>
    <row r="137" spans="1:9" ht="11.25" customHeight="1">
      <c r="A137" t="s">
        <v>2160</v>
      </c>
      <c r="B137" t="s">
        <v>14</v>
      </c>
      <c r="C137" t="s">
        <v>2640</v>
      </c>
      <c r="D137" t="s">
        <v>2641</v>
      </c>
      <c r="E137" t="s">
        <v>2642</v>
      </c>
      <c r="F137" t="s">
        <v>2168</v>
      </c>
      <c r="G137" t="s">
        <v>18</v>
      </c>
      <c r="H137" t="s">
        <v>18</v>
      </c>
      <c r="I137" t="s">
        <v>606</v>
      </c>
    </row>
    <row r="138" spans="1:9" ht="11.25" customHeight="1">
      <c r="A138" t="s">
        <v>2160</v>
      </c>
      <c r="B138" t="s">
        <v>14</v>
      </c>
      <c r="C138" t="s">
        <v>2643</v>
      </c>
      <c r="D138" t="s">
        <v>2644</v>
      </c>
      <c r="E138" t="s">
        <v>2645</v>
      </c>
      <c r="F138" t="s">
        <v>2230</v>
      </c>
      <c r="G138" t="s">
        <v>18</v>
      </c>
      <c r="H138" t="s">
        <v>18</v>
      </c>
      <c r="I138" t="s">
        <v>606</v>
      </c>
    </row>
    <row r="139" spans="1:9" ht="11.25" customHeight="1">
      <c r="A139" t="s">
        <v>2160</v>
      </c>
      <c r="B139" t="s">
        <v>14</v>
      </c>
      <c r="C139" t="s">
        <v>2646</v>
      </c>
      <c r="D139" t="s">
        <v>2647</v>
      </c>
      <c r="E139" t="s">
        <v>2200</v>
      </c>
      <c r="F139" t="s">
        <v>2648</v>
      </c>
      <c r="G139" t="s">
        <v>18</v>
      </c>
      <c r="H139" t="s">
        <v>18</v>
      </c>
      <c r="I139" t="s">
        <v>606</v>
      </c>
    </row>
    <row r="140" spans="1:9" ht="11.25" customHeight="1">
      <c r="A140" t="s">
        <v>2160</v>
      </c>
      <c r="B140" t="s">
        <v>14</v>
      </c>
      <c r="C140" t="s">
        <v>2649</v>
      </c>
      <c r="D140" t="s">
        <v>2650</v>
      </c>
      <c r="E140" t="s">
        <v>2651</v>
      </c>
      <c r="F140" t="s">
        <v>2230</v>
      </c>
      <c r="G140" t="s">
        <v>18</v>
      </c>
      <c r="H140" t="s">
        <v>18</v>
      </c>
      <c r="I140" t="s">
        <v>606</v>
      </c>
    </row>
    <row r="141" spans="1:9" ht="11.25" customHeight="1">
      <c r="A141" t="s">
        <v>2160</v>
      </c>
      <c r="B141" t="s">
        <v>14</v>
      </c>
      <c r="C141" t="s">
        <v>2652</v>
      </c>
      <c r="D141" t="s">
        <v>2653</v>
      </c>
      <c r="E141" t="s">
        <v>2654</v>
      </c>
      <c r="F141" t="s">
        <v>2230</v>
      </c>
      <c r="G141" t="s">
        <v>18</v>
      </c>
      <c r="H141" t="s">
        <v>18</v>
      </c>
      <c r="I141" t="s">
        <v>606</v>
      </c>
    </row>
    <row r="142" spans="1:9" ht="11.25" customHeight="1">
      <c r="A142" t="s">
        <v>2160</v>
      </c>
      <c r="B142" t="s">
        <v>14</v>
      </c>
      <c r="C142" t="s">
        <v>2655</v>
      </c>
      <c r="D142" t="s">
        <v>2656</v>
      </c>
      <c r="E142" t="s">
        <v>2657</v>
      </c>
      <c r="F142" t="s">
        <v>2334</v>
      </c>
      <c r="G142" t="s">
        <v>18</v>
      </c>
      <c r="H142" t="s">
        <v>18</v>
      </c>
      <c r="I142" t="s">
        <v>606</v>
      </c>
    </row>
    <row r="143" spans="1:9" ht="11.25" customHeight="1">
      <c r="A143" t="s">
        <v>2160</v>
      </c>
      <c r="B143" t="s">
        <v>14</v>
      </c>
      <c r="C143" t="s">
        <v>2658</v>
      </c>
      <c r="D143" t="s">
        <v>2659</v>
      </c>
      <c r="E143" t="s">
        <v>2660</v>
      </c>
      <c r="F143" t="s">
        <v>2230</v>
      </c>
      <c r="G143" t="s">
        <v>18</v>
      </c>
      <c r="H143" t="s">
        <v>18</v>
      </c>
      <c r="I143" t="s">
        <v>606</v>
      </c>
    </row>
    <row r="144" spans="1:9" ht="11.25" customHeight="1">
      <c r="A144" t="s">
        <v>2160</v>
      </c>
      <c r="B144" t="s">
        <v>14</v>
      </c>
      <c r="C144" t="s">
        <v>2661</v>
      </c>
      <c r="D144" t="s">
        <v>2662</v>
      </c>
      <c r="E144" t="s">
        <v>2663</v>
      </c>
      <c r="F144" t="s">
        <v>52</v>
      </c>
      <c r="G144" t="s">
        <v>18</v>
      </c>
      <c r="H144" t="s">
        <v>18</v>
      </c>
      <c r="I144" t="s">
        <v>606</v>
      </c>
    </row>
    <row r="145" spans="1:9" ht="11.25" customHeight="1">
      <c r="A145" t="s">
        <v>2160</v>
      </c>
      <c r="B145" t="s">
        <v>14</v>
      </c>
      <c r="C145" t="s">
        <v>2664</v>
      </c>
      <c r="D145" t="s">
        <v>2665</v>
      </c>
      <c r="E145" t="s">
        <v>2666</v>
      </c>
      <c r="F145" t="s">
        <v>2266</v>
      </c>
      <c r="G145" t="s">
        <v>2667</v>
      </c>
      <c r="H145" t="s">
        <v>18</v>
      </c>
      <c r="I145" t="s">
        <v>606</v>
      </c>
    </row>
    <row r="146" spans="1:9" ht="11.25" customHeight="1">
      <c r="A146" t="s">
        <v>2160</v>
      </c>
      <c r="B146" t="s">
        <v>14</v>
      </c>
      <c r="C146" t="s">
        <v>2668</v>
      </c>
      <c r="D146" t="s">
        <v>2669</v>
      </c>
      <c r="E146" t="s">
        <v>2163</v>
      </c>
      <c r="F146" t="s">
        <v>2378</v>
      </c>
      <c r="G146" t="s">
        <v>2628</v>
      </c>
      <c r="H146" t="s">
        <v>18</v>
      </c>
      <c r="I146" t="s">
        <v>606</v>
      </c>
    </row>
    <row r="147" spans="1:9" ht="11.25" customHeight="1">
      <c r="A147" t="s">
        <v>2160</v>
      </c>
      <c r="B147" t="s">
        <v>14</v>
      </c>
      <c r="C147" t="s">
        <v>2670</v>
      </c>
      <c r="D147" t="s">
        <v>2671</v>
      </c>
      <c r="E147" t="s">
        <v>2672</v>
      </c>
      <c r="F147" t="s">
        <v>2266</v>
      </c>
      <c r="G147" t="s">
        <v>18</v>
      </c>
      <c r="H147" t="s">
        <v>18</v>
      </c>
      <c r="I147" t="s">
        <v>606</v>
      </c>
    </row>
    <row r="148" spans="1:9" ht="11.25" customHeight="1">
      <c r="A148" t="s">
        <v>2160</v>
      </c>
      <c r="B148" t="s">
        <v>14</v>
      </c>
      <c r="C148" t="s">
        <v>2673</v>
      </c>
      <c r="D148" t="s">
        <v>2674</v>
      </c>
      <c r="E148" t="s">
        <v>2675</v>
      </c>
      <c r="F148" t="s">
        <v>2266</v>
      </c>
      <c r="G148" t="s">
        <v>2676</v>
      </c>
      <c r="H148" t="s">
        <v>18</v>
      </c>
      <c r="I148" t="s">
        <v>606</v>
      </c>
    </row>
    <row r="149" spans="1:9" ht="11.25" customHeight="1">
      <c r="A149" t="s">
        <v>2160</v>
      </c>
      <c r="B149" t="s">
        <v>14</v>
      </c>
      <c r="C149" t="s">
        <v>2677</v>
      </c>
      <c r="D149" t="s">
        <v>2678</v>
      </c>
      <c r="E149" t="s">
        <v>2679</v>
      </c>
      <c r="F149" t="s">
        <v>2266</v>
      </c>
      <c r="G149" t="s">
        <v>18</v>
      </c>
      <c r="H149" t="s">
        <v>18</v>
      </c>
      <c r="I149" t="s">
        <v>606</v>
      </c>
    </row>
    <row r="150" spans="1:9" ht="11.25" customHeight="1">
      <c r="A150" t="s">
        <v>2160</v>
      </c>
      <c r="B150" t="s">
        <v>14</v>
      </c>
      <c r="C150" t="s">
        <v>2680</v>
      </c>
      <c r="D150" t="s">
        <v>2681</v>
      </c>
      <c r="E150" t="s">
        <v>2538</v>
      </c>
      <c r="F150" t="s">
        <v>2682</v>
      </c>
      <c r="G150" t="s">
        <v>18</v>
      </c>
      <c r="H150" t="s">
        <v>18</v>
      </c>
      <c r="I150" t="s">
        <v>606</v>
      </c>
    </row>
    <row r="151" spans="1:9" ht="11.25" customHeight="1">
      <c r="A151" t="s">
        <v>2160</v>
      </c>
      <c r="B151" t="s">
        <v>14</v>
      </c>
      <c r="C151" t="s">
        <v>2683</v>
      </c>
      <c r="D151" t="s">
        <v>2684</v>
      </c>
      <c r="E151" t="s">
        <v>2685</v>
      </c>
      <c r="F151" t="s">
        <v>2266</v>
      </c>
      <c r="G151" t="s">
        <v>18</v>
      </c>
      <c r="H151" t="s">
        <v>18</v>
      </c>
      <c r="I151" t="s">
        <v>606</v>
      </c>
    </row>
    <row r="152" spans="1:9" ht="11.25" customHeight="1">
      <c r="A152" t="s">
        <v>2160</v>
      </c>
      <c r="B152" t="s">
        <v>14</v>
      </c>
      <c r="C152" t="s">
        <v>2686</v>
      </c>
      <c r="D152" t="s">
        <v>2687</v>
      </c>
      <c r="E152" t="s">
        <v>2688</v>
      </c>
      <c r="F152" t="s">
        <v>2242</v>
      </c>
      <c r="G152" t="s">
        <v>18</v>
      </c>
      <c r="H152" t="s">
        <v>18</v>
      </c>
      <c r="I152" t="s">
        <v>606</v>
      </c>
    </row>
    <row r="153" spans="1:9" ht="11.25" customHeight="1">
      <c r="A153" t="s">
        <v>2160</v>
      </c>
      <c r="B153" t="s">
        <v>14</v>
      </c>
      <c r="C153" t="s">
        <v>2689</v>
      </c>
      <c r="D153" t="s">
        <v>2690</v>
      </c>
      <c r="E153" t="s">
        <v>2691</v>
      </c>
      <c r="F153" t="s">
        <v>2230</v>
      </c>
      <c r="G153" t="s">
        <v>2692</v>
      </c>
      <c r="H153" t="s">
        <v>18</v>
      </c>
      <c r="I153" t="s">
        <v>606</v>
      </c>
    </row>
    <row r="154" spans="1:9" ht="11.25" customHeight="1">
      <c r="A154" t="s">
        <v>2160</v>
      </c>
      <c r="B154" t="s">
        <v>14</v>
      </c>
      <c r="C154" t="s">
        <v>2693</v>
      </c>
      <c r="D154" t="s">
        <v>2694</v>
      </c>
      <c r="E154" t="s">
        <v>2695</v>
      </c>
      <c r="F154" t="s">
        <v>2246</v>
      </c>
      <c r="G154" t="s">
        <v>18</v>
      </c>
      <c r="H154" t="s">
        <v>18</v>
      </c>
      <c r="I154" t="s">
        <v>606</v>
      </c>
    </row>
    <row r="155" spans="1:9" ht="11.25" customHeight="1">
      <c r="A155" t="s">
        <v>2160</v>
      </c>
      <c r="B155" t="s">
        <v>14</v>
      </c>
      <c r="C155" t="s">
        <v>2696</v>
      </c>
      <c r="D155" t="s">
        <v>2697</v>
      </c>
      <c r="E155" t="s">
        <v>2698</v>
      </c>
      <c r="F155" t="s">
        <v>52</v>
      </c>
      <c r="G155" t="s">
        <v>18</v>
      </c>
      <c r="H155" t="s">
        <v>18</v>
      </c>
      <c r="I155" t="s">
        <v>606</v>
      </c>
    </row>
    <row r="156" spans="1:9" ht="11.25" customHeight="1">
      <c r="A156" t="s">
        <v>2160</v>
      </c>
      <c r="B156" t="s">
        <v>14</v>
      </c>
      <c r="C156" t="s">
        <v>2699</v>
      </c>
      <c r="D156" t="s">
        <v>2700</v>
      </c>
      <c r="E156" t="s">
        <v>2701</v>
      </c>
      <c r="F156" t="s">
        <v>2312</v>
      </c>
      <c r="G156" t="s">
        <v>18</v>
      </c>
      <c r="H156" t="s">
        <v>18</v>
      </c>
      <c r="I156" t="s">
        <v>606</v>
      </c>
    </row>
    <row r="157" spans="1:9" ht="11.25" customHeight="1">
      <c r="A157" t="s">
        <v>2160</v>
      </c>
      <c r="B157" t="s">
        <v>14</v>
      </c>
      <c r="C157" t="s">
        <v>2702</v>
      </c>
      <c r="D157" t="s">
        <v>2703</v>
      </c>
      <c r="E157" t="s">
        <v>2704</v>
      </c>
      <c r="F157" t="s">
        <v>2266</v>
      </c>
      <c r="G157" t="s">
        <v>18</v>
      </c>
      <c r="H157" t="s">
        <v>18</v>
      </c>
      <c r="I157" t="s">
        <v>606</v>
      </c>
    </row>
    <row r="158" spans="1:9" ht="11.25" customHeight="1">
      <c r="A158" t="s">
        <v>2160</v>
      </c>
      <c r="B158" t="s">
        <v>14</v>
      </c>
      <c r="C158" t="s">
        <v>2705</v>
      </c>
      <c r="D158" t="s">
        <v>2706</v>
      </c>
      <c r="E158" t="s">
        <v>2707</v>
      </c>
      <c r="F158" t="s">
        <v>2176</v>
      </c>
      <c r="G158" t="s">
        <v>18</v>
      </c>
      <c r="H158" t="s">
        <v>18</v>
      </c>
      <c r="I158" t="s">
        <v>606</v>
      </c>
    </row>
    <row r="159" spans="1:9" ht="11.25" customHeight="1">
      <c r="A159" t="s">
        <v>2160</v>
      </c>
      <c r="B159" t="s">
        <v>14</v>
      </c>
      <c r="C159" t="s">
        <v>2708</v>
      </c>
      <c r="D159" t="s">
        <v>2709</v>
      </c>
      <c r="E159" t="s">
        <v>2710</v>
      </c>
      <c r="F159" t="s">
        <v>2196</v>
      </c>
      <c r="G159" t="s">
        <v>2711</v>
      </c>
      <c r="H159" t="s">
        <v>18</v>
      </c>
      <c r="I159" t="s">
        <v>606</v>
      </c>
    </row>
    <row r="160" spans="1:9" ht="11.25" customHeight="1">
      <c r="A160" t="s">
        <v>2160</v>
      </c>
      <c r="B160" t="s">
        <v>14</v>
      </c>
      <c r="C160" t="s">
        <v>2712</v>
      </c>
      <c r="D160" t="s">
        <v>2713</v>
      </c>
      <c r="E160" t="s">
        <v>2714</v>
      </c>
      <c r="F160" t="s">
        <v>2230</v>
      </c>
      <c r="G160" t="s">
        <v>18</v>
      </c>
      <c r="H160" t="s">
        <v>18</v>
      </c>
      <c r="I160" t="s">
        <v>606</v>
      </c>
    </row>
    <row r="161" spans="1:9" ht="11.25" customHeight="1">
      <c r="A161" t="s">
        <v>2160</v>
      </c>
      <c r="B161" t="s">
        <v>14</v>
      </c>
      <c r="C161" t="s">
        <v>2715</v>
      </c>
      <c r="D161" t="s">
        <v>2716</v>
      </c>
      <c r="E161" t="s">
        <v>2717</v>
      </c>
      <c r="F161" t="s">
        <v>2718</v>
      </c>
      <c r="G161" t="s">
        <v>18</v>
      </c>
      <c r="H161" t="s">
        <v>18</v>
      </c>
      <c r="I161" t="s">
        <v>606</v>
      </c>
    </row>
    <row r="162" spans="1:9" ht="11.25" customHeight="1">
      <c r="A162" t="s">
        <v>2160</v>
      </c>
      <c r="B162" t="s">
        <v>14</v>
      </c>
      <c r="C162" t="s">
        <v>2719</v>
      </c>
      <c r="D162" t="s">
        <v>2720</v>
      </c>
      <c r="E162" t="s">
        <v>2721</v>
      </c>
      <c r="F162" t="s">
        <v>2196</v>
      </c>
      <c r="G162" t="s">
        <v>18</v>
      </c>
      <c r="H162" t="s">
        <v>18</v>
      </c>
      <c r="I162" t="s">
        <v>606</v>
      </c>
    </row>
    <row r="163" spans="1:9" ht="11.25" customHeight="1">
      <c r="A163" t="s">
        <v>2160</v>
      </c>
      <c r="B163" t="s">
        <v>14</v>
      </c>
      <c r="C163" t="s">
        <v>2722</v>
      </c>
      <c r="D163" t="s">
        <v>2723</v>
      </c>
      <c r="E163" t="s">
        <v>2724</v>
      </c>
      <c r="F163" t="s">
        <v>2196</v>
      </c>
      <c r="G163" t="s">
        <v>18</v>
      </c>
      <c r="H163" t="s">
        <v>18</v>
      </c>
      <c r="I163" t="s">
        <v>606</v>
      </c>
    </row>
    <row r="164" spans="1:9" ht="11.25" customHeight="1">
      <c r="A164" t="s">
        <v>2160</v>
      </c>
      <c r="B164" t="s">
        <v>14</v>
      </c>
      <c r="C164" t="s">
        <v>2725</v>
      </c>
      <c r="D164" t="s">
        <v>2726</v>
      </c>
      <c r="E164" t="s">
        <v>2727</v>
      </c>
      <c r="F164" t="s">
        <v>2223</v>
      </c>
      <c r="G164" t="s">
        <v>2728</v>
      </c>
      <c r="H164" t="s">
        <v>18</v>
      </c>
      <c r="I164" t="s">
        <v>606</v>
      </c>
    </row>
    <row r="165" spans="1:9" ht="11.25" customHeight="1">
      <c r="A165" t="s">
        <v>2160</v>
      </c>
      <c r="B165" t="s">
        <v>14</v>
      </c>
      <c r="C165" t="s">
        <v>2729</v>
      </c>
      <c r="D165" t="s">
        <v>2730</v>
      </c>
      <c r="E165" t="s">
        <v>2731</v>
      </c>
      <c r="F165" t="s">
        <v>2732</v>
      </c>
      <c r="G165" t="s">
        <v>2733</v>
      </c>
      <c r="H165" t="s">
        <v>18</v>
      </c>
      <c r="I165" t="s">
        <v>606</v>
      </c>
    </row>
    <row r="166" spans="1:9" ht="11.25" customHeight="1">
      <c r="A166" t="s">
        <v>2160</v>
      </c>
      <c r="B166" t="s">
        <v>14</v>
      </c>
      <c r="C166" t="s">
        <v>2734</v>
      </c>
      <c r="D166" t="s">
        <v>2735</v>
      </c>
      <c r="E166" t="s">
        <v>2736</v>
      </c>
      <c r="F166" t="s">
        <v>2196</v>
      </c>
      <c r="G166" t="s">
        <v>18</v>
      </c>
      <c r="H166" t="s">
        <v>18</v>
      </c>
      <c r="I166" t="s">
        <v>606</v>
      </c>
    </row>
    <row r="167" spans="1:9" ht="11.25" customHeight="1">
      <c r="A167" t="s">
        <v>2160</v>
      </c>
      <c r="B167" t="s">
        <v>14</v>
      </c>
      <c r="C167" t="s">
        <v>2737</v>
      </c>
      <c r="D167" t="s">
        <v>2738</v>
      </c>
      <c r="E167" t="s">
        <v>2739</v>
      </c>
      <c r="F167" t="s">
        <v>2414</v>
      </c>
      <c r="G167" t="s">
        <v>2740</v>
      </c>
      <c r="H167" t="s">
        <v>18</v>
      </c>
      <c r="I167" t="s">
        <v>606</v>
      </c>
    </row>
    <row r="168" spans="1:9" ht="11.25" customHeight="1">
      <c r="A168" t="s">
        <v>2160</v>
      </c>
      <c r="B168" t="s">
        <v>14</v>
      </c>
      <c r="C168" t="s">
        <v>2741</v>
      </c>
      <c r="D168" t="s">
        <v>2742</v>
      </c>
      <c r="E168" t="s">
        <v>2743</v>
      </c>
      <c r="F168" t="s">
        <v>2356</v>
      </c>
      <c r="G168" t="s">
        <v>18</v>
      </c>
      <c r="H168" t="s">
        <v>18</v>
      </c>
      <c r="I168" t="s">
        <v>606</v>
      </c>
    </row>
    <row r="169" spans="1:9" ht="11.25" customHeight="1">
      <c r="A169" t="s">
        <v>2160</v>
      </c>
      <c r="B169" t="s">
        <v>14</v>
      </c>
      <c r="C169" t="s">
        <v>2744</v>
      </c>
      <c r="D169" t="s">
        <v>2745</v>
      </c>
      <c r="E169" t="s">
        <v>2746</v>
      </c>
      <c r="F169" t="s">
        <v>2747</v>
      </c>
      <c r="G169" t="s">
        <v>18</v>
      </c>
      <c r="H169" t="s">
        <v>18</v>
      </c>
      <c r="I169" t="s">
        <v>606</v>
      </c>
    </row>
    <row r="170" spans="1:9" ht="11.25" customHeight="1">
      <c r="A170" t="s">
        <v>2160</v>
      </c>
      <c r="B170" t="s">
        <v>14</v>
      </c>
      <c r="C170" t="s">
        <v>2748</v>
      </c>
      <c r="D170" t="s">
        <v>2749</v>
      </c>
      <c r="E170" t="s">
        <v>2750</v>
      </c>
      <c r="F170" t="s">
        <v>2196</v>
      </c>
      <c r="G170" t="s">
        <v>18</v>
      </c>
      <c r="H170" t="s">
        <v>18</v>
      </c>
      <c r="I170" t="s">
        <v>606</v>
      </c>
    </row>
    <row r="171" spans="1:9" ht="11.25" customHeight="1">
      <c r="A171" t="s">
        <v>2160</v>
      </c>
      <c r="B171" t="s">
        <v>14</v>
      </c>
      <c r="C171" t="s">
        <v>2751</v>
      </c>
      <c r="D171" t="s">
        <v>2752</v>
      </c>
      <c r="E171" t="s">
        <v>2753</v>
      </c>
      <c r="F171" t="s">
        <v>2196</v>
      </c>
      <c r="G171" t="s">
        <v>18</v>
      </c>
      <c r="H171" t="s">
        <v>18</v>
      </c>
      <c r="I171" t="s">
        <v>606</v>
      </c>
    </row>
    <row r="172" spans="1:9" ht="11.25" customHeight="1">
      <c r="A172" t="s">
        <v>2160</v>
      </c>
      <c r="B172" t="s">
        <v>14</v>
      </c>
      <c r="C172" t="s">
        <v>2754</v>
      </c>
      <c r="D172" t="s">
        <v>2755</v>
      </c>
      <c r="E172" t="s">
        <v>2756</v>
      </c>
      <c r="F172" t="s">
        <v>2168</v>
      </c>
      <c r="G172" t="s">
        <v>18</v>
      </c>
      <c r="H172" t="s">
        <v>18</v>
      </c>
      <c r="I172" t="s">
        <v>606</v>
      </c>
    </row>
    <row r="173" spans="1:9" ht="11.25" customHeight="1">
      <c r="A173" t="s">
        <v>2160</v>
      </c>
      <c r="B173" t="s">
        <v>14</v>
      </c>
      <c r="C173" t="s">
        <v>2757</v>
      </c>
      <c r="D173" t="s">
        <v>2758</v>
      </c>
      <c r="E173" t="s">
        <v>2286</v>
      </c>
      <c r="F173" t="s">
        <v>2759</v>
      </c>
      <c r="G173" t="s">
        <v>18</v>
      </c>
      <c r="H173" t="s">
        <v>18</v>
      </c>
      <c r="I173" t="s">
        <v>606</v>
      </c>
    </row>
    <row r="174" spans="1:9" ht="11.25" customHeight="1">
      <c r="A174" t="s">
        <v>2160</v>
      </c>
      <c r="B174" t="s">
        <v>14</v>
      </c>
      <c r="C174" t="s">
        <v>2760</v>
      </c>
      <c r="D174" t="s">
        <v>2761</v>
      </c>
      <c r="E174" t="s">
        <v>2762</v>
      </c>
      <c r="F174" t="s">
        <v>2196</v>
      </c>
      <c r="G174" t="s">
        <v>18</v>
      </c>
      <c r="H174" t="s">
        <v>18</v>
      </c>
      <c r="I174" t="s">
        <v>606</v>
      </c>
    </row>
    <row r="175" spans="1:9" ht="11.25" customHeight="1">
      <c r="A175" t="s">
        <v>2160</v>
      </c>
      <c r="B175" t="s">
        <v>14</v>
      </c>
      <c r="C175" t="s">
        <v>2763</v>
      </c>
      <c r="D175" t="s">
        <v>2764</v>
      </c>
      <c r="E175" t="s">
        <v>2163</v>
      </c>
      <c r="F175" t="s">
        <v>2765</v>
      </c>
      <c r="G175" t="s">
        <v>18</v>
      </c>
      <c r="H175" t="s">
        <v>18</v>
      </c>
      <c r="I175" t="s">
        <v>606</v>
      </c>
    </row>
    <row r="176" spans="1:9" ht="11.25" customHeight="1">
      <c r="A176" t="s">
        <v>2160</v>
      </c>
      <c r="B176" t="s">
        <v>14</v>
      </c>
      <c r="C176" t="s">
        <v>2766</v>
      </c>
      <c r="D176" t="s">
        <v>2767</v>
      </c>
      <c r="E176" t="s">
        <v>2505</v>
      </c>
      <c r="F176" t="s">
        <v>2768</v>
      </c>
      <c r="G176" t="s">
        <v>18</v>
      </c>
      <c r="H176" t="s">
        <v>18</v>
      </c>
      <c r="I176" t="s">
        <v>606</v>
      </c>
    </row>
    <row r="177" spans="1:9" ht="11.25" customHeight="1">
      <c r="A177" t="s">
        <v>2160</v>
      </c>
      <c r="B177" t="s">
        <v>14</v>
      </c>
      <c r="C177" t="s">
        <v>2769</v>
      </c>
      <c r="D177" t="s">
        <v>2770</v>
      </c>
      <c r="E177" t="s">
        <v>2421</v>
      </c>
      <c r="F177" t="s">
        <v>2533</v>
      </c>
      <c r="G177" t="s">
        <v>18</v>
      </c>
      <c r="H177" t="s">
        <v>18</v>
      </c>
      <c r="I177" t="s">
        <v>606</v>
      </c>
    </row>
    <row r="178" spans="1:9" ht="11.25" customHeight="1">
      <c r="A178" t="s">
        <v>2160</v>
      </c>
      <c r="B178" t="s">
        <v>14</v>
      </c>
      <c r="C178" t="s">
        <v>2771</v>
      </c>
      <c r="D178" t="s">
        <v>2772</v>
      </c>
      <c r="E178" t="s">
        <v>2739</v>
      </c>
      <c r="F178" t="s">
        <v>2773</v>
      </c>
      <c r="G178" t="s">
        <v>18</v>
      </c>
      <c r="H178" t="s">
        <v>2774</v>
      </c>
      <c r="I178" t="s">
        <v>606</v>
      </c>
    </row>
    <row r="179" spans="1:9" ht="11.25" customHeight="1">
      <c r="A179" t="s">
        <v>2160</v>
      </c>
      <c r="B179" t="s">
        <v>14</v>
      </c>
      <c r="C179" t="s">
        <v>2775</v>
      </c>
      <c r="D179" t="s">
        <v>2776</v>
      </c>
      <c r="E179" t="s">
        <v>2226</v>
      </c>
      <c r="F179" t="s">
        <v>2777</v>
      </c>
      <c r="G179" t="s">
        <v>18</v>
      </c>
      <c r="H179" t="s">
        <v>18</v>
      </c>
      <c r="I179" t="s">
        <v>606</v>
      </c>
    </row>
    <row r="180" spans="1:9" ht="11.25" customHeight="1">
      <c r="A180" t="s">
        <v>2160</v>
      </c>
      <c r="B180" t="s">
        <v>14</v>
      </c>
      <c r="C180" t="s">
        <v>2778</v>
      </c>
      <c r="D180" t="s">
        <v>2779</v>
      </c>
      <c r="E180" t="s">
        <v>2226</v>
      </c>
      <c r="F180" t="s">
        <v>2780</v>
      </c>
      <c r="G180" t="s">
        <v>18</v>
      </c>
      <c r="H180" t="s">
        <v>18</v>
      </c>
      <c r="I180" t="s">
        <v>606</v>
      </c>
    </row>
    <row r="181" spans="1:9" ht="11.25" customHeight="1">
      <c r="A181" t="s">
        <v>2160</v>
      </c>
      <c r="B181" t="s">
        <v>14</v>
      </c>
      <c r="C181" t="s">
        <v>2781</v>
      </c>
      <c r="D181" t="s">
        <v>2782</v>
      </c>
      <c r="E181" t="s">
        <v>2226</v>
      </c>
      <c r="F181" t="s">
        <v>2783</v>
      </c>
      <c r="G181" t="s">
        <v>18</v>
      </c>
      <c r="H181" t="s">
        <v>18</v>
      </c>
      <c r="I181" t="s">
        <v>606</v>
      </c>
    </row>
    <row r="182" spans="1:9" ht="11.25" customHeight="1">
      <c r="A182" t="s">
        <v>2160</v>
      </c>
      <c r="B182" t="s">
        <v>14</v>
      </c>
      <c r="C182" t="s">
        <v>2784</v>
      </c>
      <c r="D182" t="s">
        <v>2785</v>
      </c>
      <c r="E182" t="s">
        <v>50</v>
      </c>
      <c r="F182" t="s">
        <v>2786</v>
      </c>
      <c r="G182" t="s">
        <v>18</v>
      </c>
      <c r="H182" t="s">
        <v>18</v>
      </c>
      <c r="I182" t="s">
        <v>606</v>
      </c>
    </row>
    <row r="183" spans="1:9" ht="11.25" customHeight="1">
      <c r="A183" t="s">
        <v>2160</v>
      </c>
      <c r="B183" t="s">
        <v>14</v>
      </c>
      <c r="C183" t="s">
        <v>2787</v>
      </c>
      <c r="D183" t="s">
        <v>2788</v>
      </c>
      <c r="E183" t="s">
        <v>50</v>
      </c>
      <c r="F183" t="s">
        <v>2789</v>
      </c>
      <c r="G183" t="s">
        <v>2790</v>
      </c>
      <c r="H183" t="s">
        <v>18</v>
      </c>
      <c r="I183" t="s">
        <v>606</v>
      </c>
    </row>
    <row r="184" spans="1:9" ht="11.25" customHeight="1">
      <c r="A184" t="s">
        <v>2160</v>
      </c>
      <c r="B184" t="s">
        <v>14</v>
      </c>
      <c r="C184" t="s">
        <v>2791</v>
      </c>
      <c r="D184" t="s">
        <v>2792</v>
      </c>
      <c r="E184" t="s">
        <v>2793</v>
      </c>
      <c r="F184" t="s">
        <v>2632</v>
      </c>
      <c r="G184" t="s">
        <v>18</v>
      </c>
      <c r="H184" t="s">
        <v>18</v>
      </c>
      <c r="I184" t="s">
        <v>606</v>
      </c>
    </row>
    <row r="185" spans="1:9" ht="11.25" customHeight="1">
      <c r="A185" t="s">
        <v>2160</v>
      </c>
      <c r="B185" t="s">
        <v>14</v>
      </c>
      <c r="C185" t="s">
        <v>2794</v>
      </c>
      <c r="D185" t="s">
        <v>2795</v>
      </c>
      <c r="E185" t="s">
        <v>2796</v>
      </c>
      <c r="F185" t="s">
        <v>2230</v>
      </c>
      <c r="G185" t="s">
        <v>18</v>
      </c>
      <c r="H185" t="s">
        <v>18</v>
      </c>
      <c r="I185" t="s">
        <v>606</v>
      </c>
    </row>
    <row r="186" spans="1:9" ht="11.25" customHeight="1">
      <c r="A186" t="s">
        <v>2160</v>
      </c>
      <c r="B186" t="s">
        <v>14</v>
      </c>
      <c r="C186" t="s">
        <v>2797</v>
      </c>
      <c r="D186" t="s">
        <v>2798</v>
      </c>
      <c r="E186" t="s">
        <v>2799</v>
      </c>
      <c r="F186" t="s">
        <v>2385</v>
      </c>
      <c r="G186" t="s">
        <v>18</v>
      </c>
      <c r="H186" t="s">
        <v>18</v>
      </c>
      <c r="I186" t="s">
        <v>606</v>
      </c>
    </row>
    <row r="187" spans="1:9" ht="11.25" customHeight="1">
      <c r="A187" t="s">
        <v>2160</v>
      </c>
      <c r="B187" t="s">
        <v>14</v>
      </c>
      <c r="C187" t="s">
        <v>2800</v>
      </c>
      <c r="D187" t="s">
        <v>2801</v>
      </c>
      <c r="E187" t="s">
        <v>2802</v>
      </c>
      <c r="F187" t="s">
        <v>2246</v>
      </c>
      <c r="G187" t="s">
        <v>18</v>
      </c>
      <c r="H187" t="s">
        <v>18</v>
      </c>
      <c r="I187" t="s">
        <v>606</v>
      </c>
    </row>
    <row r="188" spans="1:9" ht="11.25" customHeight="1">
      <c r="A188" t="s">
        <v>2160</v>
      </c>
      <c r="B188" t="s">
        <v>14</v>
      </c>
      <c r="C188" t="s">
        <v>2803</v>
      </c>
      <c r="D188" t="s">
        <v>2804</v>
      </c>
      <c r="E188" t="s">
        <v>2736</v>
      </c>
      <c r="F188" t="s">
        <v>2632</v>
      </c>
      <c r="G188" t="s">
        <v>2805</v>
      </c>
      <c r="H188" t="s">
        <v>18</v>
      </c>
      <c r="I188" t="s">
        <v>606</v>
      </c>
    </row>
    <row r="189" spans="1:9" ht="11.25" customHeight="1">
      <c r="A189" t="s">
        <v>2160</v>
      </c>
      <c r="B189" t="s">
        <v>14</v>
      </c>
      <c r="C189" t="s">
        <v>2806</v>
      </c>
      <c r="D189" t="s">
        <v>2807</v>
      </c>
      <c r="E189" t="s">
        <v>2282</v>
      </c>
      <c r="F189" t="s">
        <v>2808</v>
      </c>
      <c r="G189" t="s">
        <v>18</v>
      </c>
      <c r="H189" t="s">
        <v>18</v>
      </c>
      <c r="I189" t="s">
        <v>606</v>
      </c>
    </row>
    <row r="190" spans="1:9" ht="11.25" customHeight="1">
      <c r="A190" t="s">
        <v>2160</v>
      </c>
      <c r="B190" t="s">
        <v>14</v>
      </c>
      <c r="C190" t="s">
        <v>2165</v>
      </c>
      <c r="D190" t="s">
        <v>2166</v>
      </c>
      <c r="E190" t="s">
        <v>2167</v>
      </c>
      <c r="F190" t="s">
        <v>2168</v>
      </c>
      <c r="G190" t="s">
        <v>18</v>
      </c>
      <c r="H190" t="s">
        <v>18</v>
      </c>
      <c r="I190" t="s">
        <v>1017</v>
      </c>
    </row>
    <row r="191" spans="1:9" ht="11.25" customHeight="1">
      <c r="A191" t="s">
        <v>2160</v>
      </c>
      <c r="B191" t="s">
        <v>14</v>
      </c>
      <c r="C191" t="s">
        <v>2198</v>
      </c>
      <c r="D191" t="s">
        <v>2199</v>
      </c>
      <c r="E191" t="s">
        <v>2200</v>
      </c>
      <c r="F191" t="s">
        <v>2201</v>
      </c>
      <c r="G191" t="s">
        <v>18</v>
      </c>
      <c r="H191" t="s">
        <v>18</v>
      </c>
      <c r="I191" t="s">
        <v>1017</v>
      </c>
    </row>
    <row r="192" spans="1:9" ht="11.25" customHeight="1">
      <c r="A192" t="s">
        <v>2160</v>
      </c>
      <c r="B192" t="s">
        <v>14</v>
      </c>
      <c r="C192" t="s">
        <v>2202</v>
      </c>
      <c r="D192" t="s">
        <v>2203</v>
      </c>
      <c r="E192" t="s">
        <v>2204</v>
      </c>
      <c r="F192" t="s">
        <v>2176</v>
      </c>
      <c r="G192" t="s">
        <v>2205</v>
      </c>
      <c r="H192" t="s">
        <v>18</v>
      </c>
      <c r="I192" t="s">
        <v>1017</v>
      </c>
    </row>
    <row r="193" spans="1:9" ht="11.25" customHeight="1">
      <c r="A193" t="s">
        <v>2160</v>
      </c>
      <c r="B193" t="s">
        <v>14</v>
      </c>
      <c r="C193" t="s">
        <v>2215</v>
      </c>
      <c r="D193" t="s">
        <v>2216</v>
      </c>
      <c r="E193" t="s">
        <v>2217</v>
      </c>
      <c r="F193" t="s">
        <v>2218</v>
      </c>
      <c r="G193" t="s">
        <v>2219</v>
      </c>
      <c r="H193" t="s">
        <v>18</v>
      </c>
      <c r="I193" t="s">
        <v>1017</v>
      </c>
    </row>
    <row r="194" spans="1:9" ht="11.25" customHeight="1">
      <c r="A194" t="s">
        <v>2160</v>
      </c>
      <c r="B194" t="s">
        <v>14</v>
      </c>
      <c r="C194" t="s">
        <v>2224</v>
      </c>
      <c r="D194" t="s">
        <v>2225</v>
      </c>
      <c r="E194" t="s">
        <v>2226</v>
      </c>
      <c r="F194" t="s">
        <v>2214</v>
      </c>
      <c r="G194" t="s">
        <v>18</v>
      </c>
      <c r="H194" t="s">
        <v>18</v>
      </c>
      <c r="I194" t="s">
        <v>1017</v>
      </c>
    </row>
    <row r="195" spans="1:9" ht="11.25" customHeight="1">
      <c r="A195" t="s">
        <v>2160</v>
      </c>
      <c r="B195" t="s">
        <v>14</v>
      </c>
      <c r="C195" t="s">
        <v>2227</v>
      </c>
      <c r="D195" t="s">
        <v>2228</v>
      </c>
      <c r="E195" t="s">
        <v>2229</v>
      </c>
      <c r="F195" t="s">
        <v>2230</v>
      </c>
      <c r="G195" t="s">
        <v>18</v>
      </c>
      <c r="H195" t="s">
        <v>18</v>
      </c>
      <c r="I195" t="s">
        <v>1017</v>
      </c>
    </row>
    <row r="196" spans="1:9" ht="11.25" customHeight="1">
      <c r="A196" t="s">
        <v>2160</v>
      </c>
      <c r="B196" t="s">
        <v>14</v>
      </c>
      <c r="C196" t="s">
        <v>2231</v>
      </c>
      <c r="D196" t="s">
        <v>2232</v>
      </c>
      <c r="E196" t="s">
        <v>2233</v>
      </c>
      <c r="F196" t="s">
        <v>2234</v>
      </c>
      <c r="G196" t="s">
        <v>18</v>
      </c>
      <c r="H196" t="s">
        <v>18</v>
      </c>
      <c r="I196" t="s">
        <v>1017</v>
      </c>
    </row>
    <row r="197" spans="1:9" ht="11.25" customHeight="1">
      <c r="A197" t="s">
        <v>2160</v>
      </c>
      <c r="B197" t="s">
        <v>14</v>
      </c>
      <c r="C197" t="s">
        <v>2235</v>
      </c>
      <c r="D197" t="s">
        <v>2236</v>
      </c>
      <c r="E197" t="s">
        <v>2237</v>
      </c>
      <c r="F197" t="s">
        <v>2238</v>
      </c>
      <c r="G197" t="s">
        <v>18</v>
      </c>
      <c r="H197" t="s">
        <v>18</v>
      </c>
      <c r="I197" t="s">
        <v>1017</v>
      </c>
    </row>
    <row r="198" spans="1:9" ht="11.25" customHeight="1">
      <c r="A198" t="s">
        <v>2160</v>
      </c>
      <c r="B198" t="s">
        <v>14</v>
      </c>
      <c r="C198" t="s">
        <v>2248</v>
      </c>
      <c r="D198" t="s">
        <v>2249</v>
      </c>
      <c r="E198" t="s">
        <v>2250</v>
      </c>
      <c r="F198" t="s">
        <v>2251</v>
      </c>
      <c r="G198" t="s">
        <v>18</v>
      </c>
      <c r="H198" t="s">
        <v>18</v>
      </c>
      <c r="I198" t="s">
        <v>1017</v>
      </c>
    </row>
    <row r="199" spans="1:9" ht="11.25" customHeight="1">
      <c r="A199" t="s">
        <v>2160</v>
      </c>
      <c r="B199" t="s">
        <v>14</v>
      </c>
      <c r="C199" t="s">
        <v>2252</v>
      </c>
      <c r="D199" t="s">
        <v>2253</v>
      </c>
      <c r="E199" t="s">
        <v>2254</v>
      </c>
      <c r="F199" t="s">
        <v>2192</v>
      </c>
      <c r="G199" t="s">
        <v>2255</v>
      </c>
      <c r="H199" t="s">
        <v>18</v>
      </c>
      <c r="I199" t="s">
        <v>1017</v>
      </c>
    </row>
    <row r="200" spans="1:9" ht="11.25" customHeight="1">
      <c r="A200" t="s">
        <v>2160</v>
      </c>
      <c r="B200" t="s">
        <v>14</v>
      </c>
      <c r="C200" t="s">
        <v>2288</v>
      </c>
      <c r="D200" t="s">
        <v>2289</v>
      </c>
      <c r="E200" t="s">
        <v>2290</v>
      </c>
      <c r="F200" t="s">
        <v>2291</v>
      </c>
      <c r="G200" t="s">
        <v>2292</v>
      </c>
      <c r="H200" t="s">
        <v>18</v>
      </c>
      <c r="I200" t="s">
        <v>1017</v>
      </c>
    </row>
    <row r="201" spans="1:9" ht="11.25" customHeight="1">
      <c r="A201" t="s">
        <v>2160</v>
      </c>
      <c r="B201" t="s">
        <v>14</v>
      </c>
      <c r="C201" t="s">
        <v>2309</v>
      </c>
      <c r="D201" t="s">
        <v>2310</v>
      </c>
      <c r="E201" t="s">
        <v>2311</v>
      </c>
      <c r="F201" t="s">
        <v>2312</v>
      </c>
      <c r="G201" t="s">
        <v>2313</v>
      </c>
      <c r="H201" t="s">
        <v>18</v>
      </c>
      <c r="I201" t="s">
        <v>1017</v>
      </c>
    </row>
    <row r="202" spans="1:9" ht="11.25" customHeight="1">
      <c r="A202" t="s">
        <v>2160</v>
      </c>
      <c r="B202" t="s">
        <v>14</v>
      </c>
      <c r="C202" t="s">
        <v>2318</v>
      </c>
      <c r="D202" t="s">
        <v>2319</v>
      </c>
      <c r="E202" t="s">
        <v>2320</v>
      </c>
      <c r="F202" t="s">
        <v>2312</v>
      </c>
      <c r="G202" t="s">
        <v>2321</v>
      </c>
      <c r="H202" t="s">
        <v>18</v>
      </c>
      <c r="I202" t="s">
        <v>1017</v>
      </c>
    </row>
    <row r="203" spans="1:9" ht="11.25" customHeight="1">
      <c r="A203" t="s">
        <v>2160</v>
      </c>
      <c r="B203" t="s">
        <v>14</v>
      </c>
      <c r="C203" t="s">
        <v>2325</v>
      </c>
      <c r="D203" t="s">
        <v>2326</v>
      </c>
      <c r="E203" t="s">
        <v>2327</v>
      </c>
      <c r="F203" t="s">
        <v>2187</v>
      </c>
      <c r="G203" t="s">
        <v>18</v>
      </c>
      <c r="H203" t="s">
        <v>18</v>
      </c>
      <c r="I203" t="s">
        <v>1017</v>
      </c>
    </row>
    <row r="204" spans="1:9" ht="11.25" customHeight="1">
      <c r="A204" t="s">
        <v>2160</v>
      </c>
      <c r="B204" t="s">
        <v>14</v>
      </c>
      <c r="C204" t="s">
        <v>2328</v>
      </c>
      <c r="D204" t="s">
        <v>2329</v>
      </c>
      <c r="E204" t="s">
        <v>2330</v>
      </c>
      <c r="F204" t="s">
        <v>2218</v>
      </c>
      <c r="G204" t="s">
        <v>18</v>
      </c>
      <c r="H204" t="s">
        <v>18</v>
      </c>
      <c r="I204" t="s">
        <v>1017</v>
      </c>
    </row>
    <row r="205" spans="1:9" ht="11.25" customHeight="1">
      <c r="A205" t="s">
        <v>2160</v>
      </c>
      <c r="B205" t="s">
        <v>14</v>
      </c>
      <c r="C205" t="s">
        <v>2331</v>
      </c>
      <c r="D205" t="s">
        <v>2332</v>
      </c>
      <c r="E205" t="s">
        <v>2333</v>
      </c>
      <c r="F205" t="s">
        <v>2334</v>
      </c>
      <c r="G205" t="s">
        <v>2335</v>
      </c>
      <c r="H205" t="s">
        <v>18</v>
      </c>
      <c r="I205" t="s">
        <v>1017</v>
      </c>
    </row>
    <row r="206" spans="1:9" ht="11.25" customHeight="1">
      <c r="A206" t="s">
        <v>2160</v>
      </c>
      <c r="B206" t="s">
        <v>14</v>
      </c>
      <c r="C206" t="s">
        <v>2336</v>
      </c>
      <c r="D206" t="s">
        <v>2337</v>
      </c>
      <c r="E206" t="s">
        <v>2338</v>
      </c>
      <c r="F206" t="s">
        <v>2334</v>
      </c>
      <c r="G206" t="s">
        <v>2339</v>
      </c>
      <c r="H206" t="s">
        <v>18</v>
      </c>
      <c r="I206" t="s">
        <v>1017</v>
      </c>
    </row>
    <row r="207" spans="1:9" ht="11.25" customHeight="1">
      <c r="A207" t="s">
        <v>2160</v>
      </c>
      <c r="B207" t="s">
        <v>14</v>
      </c>
      <c r="C207" t="s">
        <v>2340</v>
      </c>
      <c r="D207" t="s">
        <v>2341</v>
      </c>
      <c r="E207" t="s">
        <v>2342</v>
      </c>
      <c r="F207" t="s">
        <v>2246</v>
      </c>
      <c r="G207" t="s">
        <v>18</v>
      </c>
      <c r="H207" t="s">
        <v>18</v>
      </c>
      <c r="I207" t="s">
        <v>1017</v>
      </c>
    </row>
    <row r="208" spans="1:9" ht="11.25" customHeight="1">
      <c r="A208" t="s">
        <v>2160</v>
      </c>
      <c r="B208" t="s">
        <v>14</v>
      </c>
      <c r="C208" t="s">
        <v>2343</v>
      </c>
      <c r="D208" t="s">
        <v>2344</v>
      </c>
      <c r="E208" t="s">
        <v>2345</v>
      </c>
      <c r="F208" t="s">
        <v>2230</v>
      </c>
      <c r="G208" t="s">
        <v>18</v>
      </c>
      <c r="H208" t="s">
        <v>18</v>
      </c>
      <c r="I208" t="s">
        <v>1017</v>
      </c>
    </row>
    <row r="209" spans="1:9" ht="11.25" customHeight="1">
      <c r="A209" t="s">
        <v>2160</v>
      </c>
      <c r="B209" t="s">
        <v>14</v>
      </c>
      <c r="C209" t="s">
        <v>2346</v>
      </c>
      <c r="D209" t="s">
        <v>2347</v>
      </c>
      <c r="E209" t="s">
        <v>2348</v>
      </c>
      <c r="F209" t="s">
        <v>2218</v>
      </c>
      <c r="G209" t="s">
        <v>2349</v>
      </c>
      <c r="H209" t="s">
        <v>18</v>
      </c>
      <c r="I209" t="s">
        <v>1017</v>
      </c>
    </row>
    <row r="210" spans="1:9" ht="11.25" customHeight="1">
      <c r="A210" t="s">
        <v>2160</v>
      </c>
      <c r="B210" t="s">
        <v>14</v>
      </c>
      <c r="C210" t="s">
        <v>2353</v>
      </c>
      <c r="D210" t="s">
        <v>2354</v>
      </c>
      <c r="E210" t="s">
        <v>2355</v>
      </c>
      <c r="F210" t="s">
        <v>2356</v>
      </c>
      <c r="G210" t="s">
        <v>18</v>
      </c>
      <c r="H210" t="s">
        <v>18</v>
      </c>
      <c r="I210" t="s">
        <v>1017</v>
      </c>
    </row>
    <row r="211" spans="1:9" ht="11.25" customHeight="1">
      <c r="A211" t="s">
        <v>2160</v>
      </c>
      <c r="B211" t="s">
        <v>14</v>
      </c>
      <c r="C211" t="s">
        <v>2361</v>
      </c>
      <c r="D211" t="s">
        <v>2362</v>
      </c>
      <c r="E211" t="s">
        <v>2363</v>
      </c>
      <c r="F211" t="s">
        <v>2364</v>
      </c>
      <c r="G211" t="s">
        <v>18</v>
      </c>
      <c r="H211" t="s">
        <v>18</v>
      </c>
      <c r="I211" t="s">
        <v>1017</v>
      </c>
    </row>
    <row r="212" spans="1:9" ht="11.25" customHeight="1">
      <c r="A212" t="s">
        <v>2160</v>
      </c>
      <c r="B212" t="s">
        <v>14</v>
      </c>
      <c r="C212" t="s">
        <v>2365</v>
      </c>
      <c r="D212" t="s">
        <v>2366</v>
      </c>
      <c r="E212" t="s">
        <v>2367</v>
      </c>
      <c r="F212" t="s">
        <v>2312</v>
      </c>
      <c r="G212" t="s">
        <v>18</v>
      </c>
      <c r="H212" t="s">
        <v>18</v>
      </c>
      <c r="I212" t="s">
        <v>1017</v>
      </c>
    </row>
    <row r="213" spans="1:9" ht="11.25" customHeight="1">
      <c r="A213" t="s">
        <v>2160</v>
      </c>
      <c r="B213" t="s">
        <v>14</v>
      </c>
      <c r="C213" t="s">
        <v>2368</v>
      </c>
      <c r="D213" t="s">
        <v>2369</v>
      </c>
      <c r="E213" t="s">
        <v>2370</v>
      </c>
      <c r="F213" t="s">
        <v>2371</v>
      </c>
      <c r="G213" t="s">
        <v>18</v>
      </c>
      <c r="H213" t="s">
        <v>18</v>
      </c>
      <c r="I213" t="s">
        <v>1017</v>
      </c>
    </row>
    <row r="214" spans="1:9" ht="11.25" customHeight="1">
      <c r="A214" t="s">
        <v>2160</v>
      </c>
      <c r="B214" t="s">
        <v>14</v>
      </c>
      <c r="C214" t="s">
        <v>2372</v>
      </c>
      <c r="D214" t="s">
        <v>2373</v>
      </c>
      <c r="E214" t="s">
        <v>2374</v>
      </c>
      <c r="F214" t="s">
        <v>2312</v>
      </c>
      <c r="G214" t="s">
        <v>18</v>
      </c>
      <c r="H214" t="s">
        <v>18</v>
      </c>
      <c r="I214" t="s">
        <v>1017</v>
      </c>
    </row>
    <row r="215" spans="1:9" ht="11.25" customHeight="1">
      <c r="A215" t="s">
        <v>2160</v>
      </c>
      <c r="B215" t="s">
        <v>14</v>
      </c>
      <c r="C215" t="s">
        <v>2375</v>
      </c>
      <c r="D215" t="s">
        <v>2376</v>
      </c>
      <c r="E215" t="s">
        <v>2377</v>
      </c>
      <c r="F215" t="s">
        <v>2378</v>
      </c>
      <c r="G215" t="s">
        <v>18</v>
      </c>
      <c r="H215" t="s">
        <v>18</v>
      </c>
      <c r="I215" t="s">
        <v>1017</v>
      </c>
    </row>
    <row r="216" spans="1:9" ht="11.25" customHeight="1">
      <c r="A216" t="s">
        <v>2160</v>
      </c>
      <c r="B216" t="s">
        <v>14</v>
      </c>
      <c r="C216" t="s">
        <v>2379</v>
      </c>
      <c r="D216" t="s">
        <v>2380</v>
      </c>
      <c r="E216" t="s">
        <v>2381</v>
      </c>
      <c r="F216" t="s">
        <v>2168</v>
      </c>
      <c r="G216" t="s">
        <v>18</v>
      </c>
      <c r="H216" t="s">
        <v>18</v>
      </c>
      <c r="I216" t="s">
        <v>1017</v>
      </c>
    </row>
    <row r="217" spans="1:9" ht="11.25" customHeight="1">
      <c r="A217" t="s">
        <v>2160</v>
      </c>
      <c r="B217" t="s">
        <v>14</v>
      </c>
      <c r="C217" t="s">
        <v>2382</v>
      </c>
      <c r="D217" t="s">
        <v>2383</v>
      </c>
      <c r="E217" t="s">
        <v>2384</v>
      </c>
      <c r="F217" t="s">
        <v>2385</v>
      </c>
      <c r="G217" t="s">
        <v>18</v>
      </c>
      <c r="H217" t="s">
        <v>18</v>
      </c>
      <c r="I217" t="s">
        <v>1017</v>
      </c>
    </row>
    <row r="218" spans="1:9" ht="11.25" customHeight="1">
      <c r="A218" t="s">
        <v>2160</v>
      </c>
      <c r="B218" t="s">
        <v>14</v>
      </c>
      <c r="C218" t="s">
        <v>2390</v>
      </c>
      <c r="D218" t="s">
        <v>2391</v>
      </c>
      <c r="E218" t="s">
        <v>2392</v>
      </c>
      <c r="F218" t="s">
        <v>2168</v>
      </c>
      <c r="G218" t="s">
        <v>2393</v>
      </c>
      <c r="H218" t="s">
        <v>18</v>
      </c>
      <c r="I218" t="s">
        <v>1017</v>
      </c>
    </row>
    <row r="219" spans="1:9" ht="11.25" customHeight="1">
      <c r="A219" t="s">
        <v>2160</v>
      </c>
      <c r="B219" t="s">
        <v>14</v>
      </c>
      <c r="C219" t="s">
        <v>2397</v>
      </c>
      <c r="D219" t="s">
        <v>2398</v>
      </c>
      <c r="E219" t="s">
        <v>2399</v>
      </c>
      <c r="F219" t="s">
        <v>2230</v>
      </c>
      <c r="G219" t="s">
        <v>18</v>
      </c>
      <c r="H219" t="s">
        <v>18</v>
      </c>
      <c r="I219" t="s">
        <v>1017</v>
      </c>
    </row>
    <row r="220" spans="1:9" ht="11.25" customHeight="1">
      <c r="A220" t="s">
        <v>2160</v>
      </c>
      <c r="B220" t="s">
        <v>14</v>
      </c>
      <c r="C220" t="s">
        <v>2400</v>
      </c>
      <c r="D220" t="s">
        <v>2401</v>
      </c>
      <c r="E220" t="s">
        <v>2402</v>
      </c>
      <c r="F220" t="s">
        <v>2192</v>
      </c>
      <c r="G220" t="s">
        <v>2403</v>
      </c>
      <c r="H220" t="s">
        <v>18</v>
      </c>
      <c r="I220" t="s">
        <v>1017</v>
      </c>
    </row>
    <row r="221" spans="1:9" ht="11.25" customHeight="1">
      <c r="A221" t="s">
        <v>2160</v>
      </c>
      <c r="B221" t="s">
        <v>14</v>
      </c>
      <c r="C221" t="s">
        <v>2404</v>
      </c>
      <c r="D221" t="s">
        <v>2405</v>
      </c>
      <c r="E221" t="s">
        <v>2406</v>
      </c>
      <c r="F221" t="s">
        <v>2176</v>
      </c>
      <c r="G221" t="s">
        <v>18</v>
      </c>
      <c r="H221" t="s">
        <v>18</v>
      </c>
      <c r="I221" t="s">
        <v>1017</v>
      </c>
    </row>
    <row r="222" spans="1:9" ht="11.25" customHeight="1">
      <c r="A222" t="s">
        <v>2160</v>
      </c>
      <c r="B222" t="s">
        <v>14</v>
      </c>
      <c r="C222" t="s">
        <v>2411</v>
      </c>
      <c r="D222" t="s">
        <v>2412</v>
      </c>
      <c r="E222" t="s">
        <v>2413</v>
      </c>
      <c r="F222" t="s">
        <v>2414</v>
      </c>
      <c r="G222" t="s">
        <v>18</v>
      </c>
      <c r="H222" t="s">
        <v>2415</v>
      </c>
      <c r="I222" t="s">
        <v>1017</v>
      </c>
    </row>
    <row r="223" spans="1:9" ht="11.25" customHeight="1">
      <c r="A223" t="s">
        <v>2160</v>
      </c>
      <c r="B223" t="s">
        <v>14</v>
      </c>
      <c r="C223" t="s">
        <v>2416</v>
      </c>
      <c r="D223" t="s">
        <v>2417</v>
      </c>
      <c r="E223" t="s">
        <v>2418</v>
      </c>
      <c r="F223" t="s">
        <v>2371</v>
      </c>
      <c r="G223" t="s">
        <v>18</v>
      </c>
      <c r="H223" t="s">
        <v>18</v>
      </c>
      <c r="I223" t="s">
        <v>1017</v>
      </c>
    </row>
    <row r="224" spans="1:9" ht="11.25" customHeight="1">
      <c r="A224" t="s">
        <v>2160</v>
      </c>
      <c r="B224" t="s">
        <v>14</v>
      </c>
      <c r="C224" t="s">
        <v>2445</v>
      </c>
      <c r="D224" t="s">
        <v>2446</v>
      </c>
      <c r="E224" t="s">
        <v>2447</v>
      </c>
      <c r="F224" t="s">
        <v>2196</v>
      </c>
      <c r="G224" t="s">
        <v>18</v>
      </c>
      <c r="H224" t="s">
        <v>2448</v>
      </c>
      <c r="I224" t="s">
        <v>1017</v>
      </c>
    </row>
    <row r="225" spans="1:9" ht="11.25" customHeight="1">
      <c r="A225" t="s">
        <v>2160</v>
      </c>
      <c r="B225" t="s">
        <v>14</v>
      </c>
      <c r="C225" t="s">
        <v>2473</v>
      </c>
      <c r="D225" t="s">
        <v>2474</v>
      </c>
      <c r="E225" t="s">
        <v>2163</v>
      </c>
      <c r="F225" t="s">
        <v>2475</v>
      </c>
      <c r="G225" t="s">
        <v>18</v>
      </c>
      <c r="H225" t="s">
        <v>18</v>
      </c>
      <c r="I225" t="s">
        <v>1017</v>
      </c>
    </row>
    <row r="226" spans="1:9" ht="11.25" customHeight="1">
      <c r="A226" t="s">
        <v>2160</v>
      </c>
      <c r="B226" t="s">
        <v>14</v>
      </c>
      <c r="C226" t="s">
        <v>2476</v>
      </c>
      <c r="D226" t="s">
        <v>2477</v>
      </c>
      <c r="E226" t="s">
        <v>2163</v>
      </c>
      <c r="F226" t="s">
        <v>2478</v>
      </c>
      <c r="G226" t="s">
        <v>18</v>
      </c>
      <c r="H226" t="s">
        <v>18</v>
      </c>
      <c r="I226" t="s">
        <v>1017</v>
      </c>
    </row>
    <row r="227" spans="1:9" ht="11.25" customHeight="1">
      <c r="A227" t="s">
        <v>2160</v>
      </c>
      <c r="B227" t="s">
        <v>14</v>
      </c>
      <c r="C227" t="s">
        <v>2479</v>
      </c>
      <c r="D227" t="s">
        <v>2480</v>
      </c>
      <c r="E227" t="s">
        <v>2163</v>
      </c>
      <c r="F227" t="s">
        <v>2481</v>
      </c>
      <c r="G227" t="s">
        <v>18</v>
      </c>
      <c r="H227" t="s">
        <v>18</v>
      </c>
      <c r="I227" t="s">
        <v>1017</v>
      </c>
    </row>
    <row r="228" spans="1:9" ht="11.25" customHeight="1">
      <c r="A228" t="s">
        <v>2160</v>
      </c>
      <c r="B228" t="s">
        <v>14</v>
      </c>
      <c r="C228" t="s">
        <v>2482</v>
      </c>
      <c r="D228" t="s">
        <v>2483</v>
      </c>
      <c r="E228" t="s">
        <v>2163</v>
      </c>
      <c r="F228" t="s">
        <v>2484</v>
      </c>
      <c r="G228" t="s">
        <v>18</v>
      </c>
      <c r="H228" t="s">
        <v>18</v>
      </c>
      <c r="I228" t="s">
        <v>1017</v>
      </c>
    </row>
    <row r="229" spans="1:9" ht="11.25" customHeight="1">
      <c r="A229" t="s">
        <v>2160</v>
      </c>
      <c r="B229" t="s">
        <v>14</v>
      </c>
      <c r="C229" t="s">
        <v>2485</v>
      </c>
      <c r="D229" t="s">
        <v>2486</v>
      </c>
      <c r="E229" t="s">
        <v>2163</v>
      </c>
      <c r="F229" t="s">
        <v>2487</v>
      </c>
      <c r="G229" t="s">
        <v>18</v>
      </c>
      <c r="H229" t="s">
        <v>18</v>
      </c>
      <c r="I229" t="s">
        <v>1017</v>
      </c>
    </row>
    <row r="230" spans="1:9" ht="11.25" customHeight="1">
      <c r="A230" t="s">
        <v>2160</v>
      </c>
      <c r="B230" t="s">
        <v>14</v>
      </c>
      <c r="C230" t="s">
        <v>2488</v>
      </c>
      <c r="D230" t="s">
        <v>2489</v>
      </c>
      <c r="E230" t="s">
        <v>2163</v>
      </c>
      <c r="F230" t="s">
        <v>2490</v>
      </c>
      <c r="G230" t="s">
        <v>18</v>
      </c>
      <c r="H230" t="s">
        <v>18</v>
      </c>
      <c r="I230" t="s">
        <v>1017</v>
      </c>
    </row>
    <row r="231" spans="1:9" ht="11.25" customHeight="1">
      <c r="A231" t="s">
        <v>2160</v>
      </c>
      <c r="B231" t="s">
        <v>14</v>
      </c>
      <c r="C231" t="s">
        <v>2491</v>
      </c>
      <c r="D231" t="s">
        <v>2492</v>
      </c>
      <c r="E231" t="s">
        <v>2163</v>
      </c>
      <c r="F231" t="s">
        <v>2493</v>
      </c>
      <c r="G231" t="s">
        <v>18</v>
      </c>
      <c r="H231" t="s">
        <v>18</v>
      </c>
      <c r="I231" t="s">
        <v>1017</v>
      </c>
    </row>
    <row r="232" spans="1:9" ht="11.25" customHeight="1">
      <c r="A232" t="s">
        <v>2160</v>
      </c>
      <c r="B232" t="s">
        <v>14</v>
      </c>
      <c r="C232" t="s">
        <v>2497</v>
      </c>
      <c r="D232" t="s">
        <v>2498</v>
      </c>
      <c r="E232" t="s">
        <v>2163</v>
      </c>
      <c r="F232" t="s">
        <v>2499</v>
      </c>
      <c r="G232" t="s">
        <v>18</v>
      </c>
      <c r="H232" t="s">
        <v>18</v>
      </c>
      <c r="I232" t="s">
        <v>1017</v>
      </c>
    </row>
    <row r="233" spans="1:9" ht="11.25" customHeight="1">
      <c r="A233" t="s">
        <v>2160</v>
      </c>
      <c r="B233" t="s">
        <v>14</v>
      </c>
      <c r="C233" t="s">
        <v>2500</v>
      </c>
      <c r="D233" t="s">
        <v>2501</v>
      </c>
      <c r="E233" t="s">
        <v>2163</v>
      </c>
      <c r="F233" t="s">
        <v>2502</v>
      </c>
      <c r="G233" t="s">
        <v>18</v>
      </c>
      <c r="H233" t="s">
        <v>18</v>
      </c>
      <c r="I233" t="s">
        <v>1017</v>
      </c>
    </row>
    <row r="234" spans="1:9" ht="11.25" customHeight="1">
      <c r="A234" t="s">
        <v>2160</v>
      </c>
      <c r="B234" t="s">
        <v>14</v>
      </c>
      <c r="C234" t="s">
        <v>2503</v>
      </c>
      <c r="D234" t="s">
        <v>2504</v>
      </c>
      <c r="E234" t="s">
        <v>2505</v>
      </c>
      <c r="F234" t="s">
        <v>2506</v>
      </c>
      <c r="G234" t="s">
        <v>18</v>
      </c>
      <c r="H234" t="s">
        <v>18</v>
      </c>
      <c r="I234" t="s">
        <v>1017</v>
      </c>
    </row>
    <row r="235" spans="1:9" ht="11.25" customHeight="1">
      <c r="A235" t="s">
        <v>2160</v>
      </c>
      <c r="B235" t="s">
        <v>14</v>
      </c>
      <c r="C235" t="s">
        <v>2507</v>
      </c>
      <c r="D235" t="s">
        <v>2508</v>
      </c>
      <c r="E235" t="s">
        <v>2505</v>
      </c>
      <c r="F235" t="s">
        <v>2509</v>
      </c>
      <c r="G235" t="s">
        <v>18</v>
      </c>
      <c r="H235" t="s">
        <v>18</v>
      </c>
      <c r="I235" t="s">
        <v>1017</v>
      </c>
    </row>
    <row r="236" spans="1:9" ht="11.25" customHeight="1">
      <c r="A236" t="s">
        <v>2160</v>
      </c>
      <c r="B236" t="s">
        <v>14</v>
      </c>
      <c r="C236" t="s">
        <v>2513</v>
      </c>
      <c r="D236" t="s">
        <v>2514</v>
      </c>
      <c r="E236" t="s">
        <v>2505</v>
      </c>
      <c r="F236" t="s">
        <v>2515</v>
      </c>
      <c r="G236" t="s">
        <v>18</v>
      </c>
      <c r="H236" t="s">
        <v>18</v>
      </c>
      <c r="I236" t="s">
        <v>1017</v>
      </c>
    </row>
    <row r="237" spans="1:9" ht="11.25" customHeight="1">
      <c r="A237" t="s">
        <v>2160</v>
      </c>
      <c r="B237" t="s">
        <v>14</v>
      </c>
      <c r="C237" t="s">
        <v>2530</v>
      </c>
      <c r="D237" t="s">
        <v>47</v>
      </c>
      <c r="E237" t="s">
        <v>50</v>
      </c>
      <c r="F237" t="s">
        <v>52</v>
      </c>
      <c r="G237" t="s">
        <v>2519</v>
      </c>
      <c r="H237" t="s">
        <v>18</v>
      </c>
      <c r="I237" t="s">
        <v>1017</v>
      </c>
    </row>
    <row r="238" spans="1:9" ht="11.25" customHeight="1">
      <c r="A238" t="s">
        <v>2160</v>
      </c>
      <c r="B238" t="s">
        <v>14</v>
      </c>
      <c r="C238" t="s">
        <v>2536</v>
      </c>
      <c r="D238" t="s">
        <v>2537</v>
      </c>
      <c r="E238" t="s">
        <v>2538</v>
      </c>
      <c r="F238" t="s">
        <v>2539</v>
      </c>
      <c r="G238" t="s">
        <v>18</v>
      </c>
      <c r="H238" t="s">
        <v>18</v>
      </c>
      <c r="I238" t="s">
        <v>1017</v>
      </c>
    </row>
    <row r="239" spans="1:9" ht="11.25" customHeight="1">
      <c r="A239" t="s">
        <v>2160</v>
      </c>
      <c r="B239" t="s">
        <v>14</v>
      </c>
      <c r="C239" t="s">
        <v>2554</v>
      </c>
      <c r="D239" t="s">
        <v>2555</v>
      </c>
      <c r="E239" t="s">
        <v>2556</v>
      </c>
      <c r="F239" t="s">
        <v>2214</v>
      </c>
      <c r="G239" t="s">
        <v>18</v>
      </c>
      <c r="H239" t="s">
        <v>18</v>
      </c>
      <c r="I239" t="s">
        <v>1017</v>
      </c>
    </row>
    <row r="240" spans="1:9" ht="11.25" customHeight="1">
      <c r="A240" t="s">
        <v>2160</v>
      </c>
      <c r="B240" t="s">
        <v>14</v>
      </c>
      <c r="C240" t="s">
        <v>2566</v>
      </c>
      <c r="D240" t="s">
        <v>2567</v>
      </c>
      <c r="E240" t="s">
        <v>2568</v>
      </c>
      <c r="F240" t="s">
        <v>2168</v>
      </c>
      <c r="G240" t="s">
        <v>2569</v>
      </c>
      <c r="H240" t="s">
        <v>18</v>
      </c>
      <c r="I240" t="s">
        <v>1017</v>
      </c>
    </row>
    <row r="241" spans="1:9" ht="11.25" customHeight="1">
      <c r="A241" t="s">
        <v>2160</v>
      </c>
      <c r="B241" t="s">
        <v>14</v>
      </c>
      <c r="C241" t="s">
        <v>2597</v>
      </c>
      <c r="D241" t="s">
        <v>2598</v>
      </c>
      <c r="E241" t="s">
        <v>2599</v>
      </c>
      <c r="F241" t="s">
        <v>2414</v>
      </c>
      <c r="G241" t="s">
        <v>18</v>
      </c>
      <c r="H241" t="s">
        <v>18</v>
      </c>
      <c r="I241" t="s">
        <v>1017</v>
      </c>
    </row>
    <row r="242" spans="1:9" ht="11.25" customHeight="1">
      <c r="A242" t="s">
        <v>2160</v>
      </c>
      <c r="B242" t="s">
        <v>14</v>
      </c>
      <c r="C242" t="s">
        <v>2600</v>
      </c>
      <c r="D242" t="s">
        <v>2601</v>
      </c>
      <c r="E242" t="s">
        <v>2602</v>
      </c>
      <c r="F242" t="s">
        <v>2414</v>
      </c>
      <c r="G242" t="s">
        <v>18</v>
      </c>
      <c r="H242" t="s">
        <v>2603</v>
      </c>
      <c r="I242" t="s">
        <v>1017</v>
      </c>
    </row>
    <row r="243" spans="1:9" ht="11.25" customHeight="1">
      <c r="A243" t="s">
        <v>2160</v>
      </c>
      <c r="B243" t="s">
        <v>14</v>
      </c>
      <c r="C243" t="s">
        <v>2617</v>
      </c>
      <c r="D243" t="s">
        <v>2618</v>
      </c>
      <c r="E243" t="s">
        <v>2619</v>
      </c>
      <c r="F243" t="s">
        <v>2620</v>
      </c>
      <c r="G243" t="s">
        <v>2621</v>
      </c>
      <c r="H243" t="s">
        <v>18</v>
      </c>
      <c r="I243" t="s">
        <v>1017</v>
      </c>
    </row>
    <row r="244" spans="1:9" ht="11.25" customHeight="1">
      <c r="A244" t="s">
        <v>2160</v>
      </c>
      <c r="B244" t="s">
        <v>14</v>
      </c>
      <c r="C244" t="s">
        <v>2622</v>
      </c>
      <c r="D244" t="s">
        <v>2623</v>
      </c>
      <c r="E244" t="s">
        <v>2624</v>
      </c>
      <c r="F244" t="s">
        <v>2414</v>
      </c>
      <c r="G244" t="s">
        <v>18</v>
      </c>
      <c r="H244" t="s">
        <v>18</v>
      </c>
      <c r="I244" t="s">
        <v>1017</v>
      </c>
    </row>
    <row r="245" spans="1:9" ht="11.25" customHeight="1">
      <c r="A245" t="s">
        <v>2160</v>
      </c>
      <c r="B245" t="s">
        <v>14</v>
      </c>
      <c r="C245" t="s">
        <v>2640</v>
      </c>
      <c r="D245" t="s">
        <v>2641</v>
      </c>
      <c r="E245" t="s">
        <v>2642</v>
      </c>
      <c r="F245" t="s">
        <v>2168</v>
      </c>
      <c r="G245" t="s">
        <v>18</v>
      </c>
      <c r="H245" t="s">
        <v>18</v>
      </c>
      <c r="I245" t="s">
        <v>1017</v>
      </c>
    </row>
    <row r="246" spans="1:9" ht="11.25" customHeight="1">
      <c r="A246" t="s">
        <v>2160</v>
      </c>
      <c r="B246" t="s">
        <v>14</v>
      </c>
      <c r="C246" t="s">
        <v>2646</v>
      </c>
      <c r="D246" t="s">
        <v>2647</v>
      </c>
      <c r="E246" t="s">
        <v>2200</v>
      </c>
      <c r="F246" t="s">
        <v>2648</v>
      </c>
      <c r="G246" t="s">
        <v>18</v>
      </c>
      <c r="H246" t="s">
        <v>18</v>
      </c>
      <c r="I246" t="s">
        <v>1017</v>
      </c>
    </row>
    <row r="247" spans="1:9" ht="11.25" customHeight="1">
      <c r="A247" t="s">
        <v>2160</v>
      </c>
      <c r="B247" t="s">
        <v>14</v>
      </c>
      <c r="C247" t="s">
        <v>2649</v>
      </c>
      <c r="D247" t="s">
        <v>2650</v>
      </c>
      <c r="E247" t="s">
        <v>2651</v>
      </c>
      <c r="F247" t="s">
        <v>2230</v>
      </c>
      <c r="G247" t="s">
        <v>18</v>
      </c>
      <c r="H247" t="s">
        <v>18</v>
      </c>
      <c r="I247" t="s">
        <v>1017</v>
      </c>
    </row>
    <row r="248" spans="1:9" ht="11.25" customHeight="1">
      <c r="A248" t="s">
        <v>2160</v>
      </c>
      <c r="B248" t="s">
        <v>14</v>
      </c>
      <c r="C248" t="s">
        <v>2658</v>
      </c>
      <c r="D248" t="s">
        <v>2659</v>
      </c>
      <c r="E248" t="s">
        <v>2660</v>
      </c>
      <c r="F248" t="s">
        <v>2230</v>
      </c>
      <c r="G248" t="s">
        <v>18</v>
      </c>
      <c r="H248" t="s">
        <v>18</v>
      </c>
      <c r="I248" t="s">
        <v>1017</v>
      </c>
    </row>
    <row r="249" spans="1:9" ht="11.25" customHeight="1">
      <c r="A249" t="s">
        <v>2160</v>
      </c>
      <c r="B249" t="s">
        <v>14</v>
      </c>
      <c r="C249" t="s">
        <v>2689</v>
      </c>
      <c r="D249" t="s">
        <v>2690</v>
      </c>
      <c r="E249" t="s">
        <v>2691</v>
      </c>
      <c r="F249" t="s">
        <v>2230</v>
      </c>
      <c r="G249" t="s">
        <v>2692</v>
      </c>
      <c r="H249" t="s">
        <v>18</v>
      </c>
      <c r="I249" t="s">
        <v>1017</v>
      </c>
    </row>
    <row r="250" spans="1:9" ht="11.25" customHeight="1">
      <c r="A250" t="s">
        <v>2160</v>
      </c>
      <c r="B250" t="s">
        <v>14</v>
      </c>
      <c r="C250" t="s">
        <v>2725</v>
      </c>
      <c r="D250" t="s">
        <v>2726</v>
      </c>
      <c r="E250" t="s">
        <v>2727</v>
      </c>
      <c r="F250" t="s">
        <v>2223</v>
      </c>
      <c r="G250" t="s">
        <v>2728</v>
      </c>
      <c r="H250" t="s">
        <v>18</v>
      </c>
      <c r="I250" t="s">
        <v>1017</v>
      </c>
    </row>
    <row r="251" spans="1:9" ht="11.25" customHeight="1">
      <c r="A251" t="s">
        <v>2160</v>
      </c>
      <c r="B251" t="s">
        <v>14</v>
      </c>
      <c r="C251" t="s">
        <v>2737</v>
      </c>
      <c r="D251" t="s">
        <v>2738</v>
      </c>
      <c r="E251" t="s">
        <v>2739</v>
      </c>
      <c r="F251" t="s">
        <v>2414</v>
      </c>
      <c r="G251" t="s">
        <v>2740</v>
      </c>
      <c r="H251" t="s">
        <v>18</v>
      </c>
      <c r="I251" t="s">
        <v>1017</v>
      </c>
    </row>
    <row r="252" spans="1:9" ht="11.25" customHeight="1">
      <c r="A252" t="s">
        <v>2160</v>
      </c>
      <c r="B252" t="s">
        <v>14</v>
      </c>
      <c r="C252" t="s">
        <v>2748</v>
      </c>
      <c r="D252" t="s">
        <v>2749</v>
      </c>
      <c r="E252" t="s">
        <v>2750</v>
      </c>
      <c r="F252" t="s">
        <v>2196</v>
      </c>
      <c r="G252" t="s">
        <v>18</v>
      </c>
      <c r="H252" t="s">
        <v>18</v>
      </c>
      <c r="I252" t="s">
        <v>1017</v>
      </c>
    </row>
    <row r="253" spans="1:9" ht="11.25" customHeight="1">
      <c r="A253" t="s">
        <v>2160</v>
      </c>
      <c r="B253" t="s">
        <v>14</v>
      </c>
      <c r="C253" t="s">
        <v>2760</v>
      </c>
      <c r="D253" t="s">
        <v>2761</v>
      </c>
      <c r="E253" t="s">
        <v>2762</v>
      </c>
      <c r="F253" t="s">
        <v>2196</v>
      </c>
      <c r="G253" t="s">
        <v>18</v>
      </c>
      <c r="H253" t="s">
        <v>18</v>
      </c>
      <c r="I253" t="s">
        <v>1017</v>
      </c>
    </row>
    <row r="254" spans="1:9" ht="11.25" customHeight="1">
      <c r="A254" t="s">
        <v>2160</v>
      </c>
      <c r="B254" t="s">
        <v>14</v>
      </c>
      <c r="C254" t="s">
        <v>2771</v>
      </c>
      <c r="D254" t="s">
        <v>2772</v>
      </c>
      <c r="E254" t="s">
        <v>2739</v>
      </c>
      <c r="F254" t="s">
        <v>2773</v>
      </c>
      <c r="G254" t="s">
        <v>18</v>
      </c>
      <c r="H254" t="s">
        <v>2774</v>
      </c>
      <c r="I254" t="s">
        <v>1017</v>
      </c>
    </row>
    <row r="255" spans="1:9" ht="11.25" customHeight="1">
      <c r="A255" t="s">
        <v>2160</v>
      </c>
      <c r="B255" t="s">
        <v>14</v>
      </c>
      <c r="C255" t="s">
        <v>2781</v>
      </c>
      <c r="D255" t="s">
        <v>2782</v>
      </c>
      <c r="E255" t="s">
        <v>2226</v>
      </c>
      <c r="F255" t="s">
        <v>2783</v>
      </c>
      <c r="G255" t="s">
        <v>18</v>
      </c>
      <c r="H255" t="s">
        <v>18</v>
      </c>
      <c r="I255" t="s">
        <v>1017</v>
      </c>
    </row>
    <row r="256" spans="1:9" ht="11.25" customHeight="1">
      <c r="A256" t="s">
        <v>2160</v>
      </c>
      <c r="B256" t="s">
        <v>14</v>
      </c>
      <c r="C256" t="s">
        <v>2784</v>
      </c>
      <c r="D256" t="s">
        <v>2785</v>
      </c>
      <c r="E256" t="s">
        <v>50</v>
      </c>
      <c r="F256" t="s">
        <v>2786</v>
      </c>
      <c r="G256" t="s">
        <v>18</v>
      </c>
      <c r="H256" t="s">
        <v>18</v>
      </c>
      <c r="I256" t="s">
        <v>1017</v>
      </c>
    </row>
    <row r="257" spans="1:9" ht="11.25" customHeight="1">
      <c r="A257" t="s">
        <v>2160</v>
      </c>
      <c r="B257" t="s">
        <v>14</v>
      </c>
      <c r="C257" t="s">
        <v>2797</v>
      </c>
      <c r="D257" t="s">
        <v>2798</v>
      </c>
      <c r="E257" t="s">
        <v>2799</v>
      </c>
      <c r="F257" t="s">
        <v>2385</v>
      </c>
      <c r="G257" t="s">
        <v>18</v>
      </c>
      <c r="H257" t="s">
        <v>18</v>
      </c>
      <c r="I257" t="s">
        <v>1017</v>
      </c>
    </row>
    <row r="258" spans="1:9" ht="11.25" customHeight="1">
      <c r="A258" t="s">
        <v>2160</v>
      </c>
      <c r="B258" t="s">
        <v>14</v>
      </c>
      <c r="C258" t="s">
        <v>2800</v>
      </c>
      <c r="D258" t="s">
        <v>2801</v>
      </c>
      <c r="E258" t="s">
        <v>2802</v>
      </c>
      <c r="F258" t="s">
        <v>2246</v>
      </c>
      <c r="G258" t="s">
        <v>18</v>
      </c>
      <c r="H258" t="s">
        <v>18</v>
      </c>
      <c r="I258" t="s">
        <v>1017</v>
      </c>
    </row>
    <row r="259" spans="1:9" ht="11.25" customHeight="1">
      <c r="A259" t="s">
        <v>2160</v>
      </c>
      <c r="B259" t="s">
        <v>14</v>
      </c>
      <c r="C259" t="s">
        <v>2165</v>
      </c>
      <c r="D259" t="s">
        <v>2166</v>
      </c>
      <c r="E259" t="s">
        <v>2167</v>
      </c>
      <c r="F259" t="s">
        <v>2168</v>
      </c>
      <c r="G259" t="s">
        <v>18</v>
      </c>
      <c r="H259" t="s">
        <v>18</v>
      </c>
      <c r="I259" t="s">
        <v>994</v>
      </c>
    </row>
    <row r="260" spans="1:9" ht="11.25" customHeight="1">
      <c r="A260" t="s">
        <v>2160</v>
      </c>
      <c r="B260" t="s">
        <v>14</v>
      </c>
      <c r="C260" t="s">
        <v>2169</v>
      </c>
      <c r="D260" t="s">
        <v>2170</v>
      </c>
      <c r="E260" t="s">
        <v>2171</v>
      </c>
      <c r="F260" t="s">
        <v>2172</v>
      </c>
      <c r="G260" t="s">
        <v>18</v>
      </c>
      <c r="H260" t="s">
        <v>18</v>
      </c>
      <c r="I260" t="s">
        <v>994</v>
      </c>
    </row>
    <row r="261" spans="1:9" ht="11.25" customHeight="1">
      <c r="A261" t="s">
        <v>2160</v>
      </c>
      <c r="B261" t="s">
        <v>14</v>
      </c>
      <c r="C261" t="s">
        <v>2184</v>
      </c>
      <c r="D261" t="s">
        <v>2185</v>
      </c>
      <c r="E261" t="s">
        <v>2186</v>
      </c>
      <c r="F261" t="s">
        <v>2187</v>
      </c>
      <c r="G261" t="s">
        <v>2188</v>
      </c>
      <c r="H261" t="s">
        <v>18</v>
      </c>
      <c r="I261" t="s">
        <v>994</v>
      </c>
    </row>
    <row r="262" spans="1:9" ht="11.25" customHeight="1">
      <c r="A262" t="s">
        <v>2160</v>
      </c>
      <c r="B262" t="s">
        <v>14</v>
      </c>
      <c r="C262" t="s">
        <v>2193</v>
      </c>
      <c r="D262" t="s">
        <v>2194</v>
      </c>
      <c r="E262" t="s">
        <v>2195</v>
      </c>
      <c r="F262" t="s">
        <v>2196</v>
      </c>
      <c r="G262" t="s">
        <v>2197</v>
      </c>
      <c r="H262" t="s">
        <v>18</v>
      </c>
      <c r="I262" t="s">
        <v>994</v>
      </c>
    </row>
    <row r="263" spans="1:9" ht="11.25" customHeight="1">
      <c r="A263" t="s">
        <v>2160</v>
      </c>
      <c r="B263" t="s">
        <v>14</v>
      </c>
      <c r="C263" t="s">
        <v>2809</v>
      </c>
      <c r="D263" t="s">
        <v>2810</v>
      </c>
      <c r="E263" t="s">
        <v>2811</v>
      </c>
      <c r="F263" t="s">
        <v>2238</v>
      </c>
      <c r="G263" t="s">
        <v>2812</v>
      </c>
      <c r="H263" t="s">
        <v>18</v>
      </c>
      <c r="I263" t="s">
        <v>994</v>
      </c>
    </row>
    <row r="264" spans="1:9" ht="11.25" customHeight="1">
      <c r="A264" t="s">
        <v>2160</v>
      </c>
      <c r="B264" t="s">
        <v>14</v>
      </c>
      <c r="C264" t="s">
        <v>2813</v>
      </c>
      <c r="D264" t="s">
        <v>2199</v>
      </c>
      <c r="E264" t="s">
        <v>2200</v>
      </c>
      <c r="F264" t="s">
        <v>2814</v>
      </c>
      <c r="G264" t="s">
        <v>2815</v>
      </c>
      <c r="H264" t="s">
        <v>18</v>
      </c>
      <c r="I264" t="s">
        <v>994</v>
      </c>
    </row>
    <row r="265" spans="1:9" ht="11.25" customHeight="1">
      <c r="A265" t="s">
        <v>2160</v>
      </c>
      <c r="B265" t="s">
        <v>14</v>
      </c>
      <c r="C265" t="s">
        <v>2198</v>
      </c>
      <c r="D265" t="s">
        <v>2199</v>
      </c>
      <c r="E265" t="s">
        <v>2200</v>
      </c>
      <c r="F265" t="s">
        <v>2201</v>
      </c>
      <c r="G265" t="s">
        <v>18</v>
      </c>
      <c r="H265" t="s">
        <v>18</v>
      </c>
      <c r="I265" t="s">
        <v>994</v>
      </c>
    </row>
    <row r="266" spans="1:9" ht="11.25" customHeight="1">
      <c r="A266" t="s">
        <v>2160</v>
      </c>
      <c r="B266" t="s">
        <v>14</v>
      </c>
      <c r="C266" t="s">
        <v>2202</v>
      </c>
      <c r="D266" t="s">
        <v>2203</v>
      </c>
      <c r="E266" t="s">
        <v>2204</v>
      </c>
      <c r="F266" t="s">
        <v>2176</v>
      </c>
      <c r="G266" t="s">
        <v>2205</v>
      </c>
      <c r="H266" t="s">
        <v>18</v>
      </c>
      <c r="I266" t="s">
        <v>994</v>
      </c>
    </row>
    <row r="267" spans="1:9" ht="11.25" customHeight="1">
      <c r="A267" t="s">
        <v>2160</v>
      </c>
      <c r="B267" t="s">
        <v>14</v>
      </c>
      <c r="C267" t="s">
        <v>2215</v>
      </c>
      <c r="D267" t="s">
        <v>2216</v>
      </c>
      <c r="E267" t="s">
        <v>2217</v>
      </c>
      <c r="F267" t="s">
        <v>2218</v>
      </c>
      <c r="G267" t="s">
        <v>2219</v>
      </c>
      <c r="H267" t="s">
        <v>18</v>
      </c>
      <c r="I267" t="s">
        <v>994</v>
      </c>
    </row>
    <row r="268" spans="1:9" ht="11.25" customHeight="1">
      <c r="A268" t="s">
        <v>2160</v>
      </c>
      <c r="B268" t="s">
        <v>14</v>
      </c>
      <c r="C268" t="s">
        <v>2224</v>
      </c>
      <c r="D268" t="s">
        <v>2225</v>
      </c>
      <c r="E268" t="s">
        <v>2226</v>
      </c>
      <c r="F268" t="s">
        <v>2214</v>
      </c>
      <c r="G268" t="s">
        <v>18</v>
      </c>
      <c r="H268" t="s">
        <v>18</v>
      </c>
      <c r="I268" t="s">
        <v>994</v>
      </c>
    </row>
    <row r="269" spans="1:9" ht="11.25" customHeight="1">
      <c r="A269" t="s">
        <v>2160</v>
      </c>
      <c r="B269" t="s">
        <v>14</v>
      </c>
      <c r="C269" t="s">
        <v>2227</v>
      </c>
      <c r="D269" t="s">
        <v>2228</v>
      </c>
      <c r="E269" t="s">
        <v>2229</v>
      </c>
      <c r="F269" t="s">
        <v>2230</v>
      </c>
      <c r="G269" t="s">
        <v>18</v>
      </c>
      <c r="H269" t="s">
        <v>18</v>
      </c>
      <c r="I269" t="s">
        <v>994</v>
      </c>
    </row>
    <row r="270" spans="1:9" ht="11.25" customHeight="1">
      <c r="A270" t="s">
        <v>2160</v>
      </c>
      <c r="B270" t="s">
        <v>14</v>
      </c>
      <c r="C270" t="s">
        <v>2816</v>
      </c>
      <c r="D270" t="s">
        <v>2817</v>
      </c>
      <c r="E270" t="s">
        <v>2818</v>
      </c>
      <c r="F270" t="s">
        <v>2317</v>
      </c>
      <c r="G270" t="s">
        <v>2819</v>
      </c>
      <c r="H270" t="s">
        <v>18</v>
      </c>
      <c r="I270" t="s">
        <v>994</v>
      </c>
    </row>
    <row r="271" spans="1:9" ht="11.25" customHeight="1">
      <c r="A271" t="s">
        <v>2160</v>
      </c>
      <c r="B271" t="s">
        <v>14</v>
      </c>
      <c r="C271" t="s">
        <v>2820</v>
      </c>
      <c r="D271" t="s">
        <v>2821</v>
      </c>
      <c r="E271" t="s">
        <v>2822</v>
      </c>
      <c r="F271" t="s">
        <v>2251</v>
      </c>
      <c r="G271" t="s">
        <v>18</v>
      </c>
      <c r="H271" t="s">
        <v>18</v>
      </c>
      <c r="I271" t="s">
        <v>994</v>
      </c>
    </row>
    <row r="272" spans="1:9" ht="11.25" customHeight="1">
      <c r="A272" t="s">
        <v>2160</v>
      </c>
      <c r="B272" t="s">
        <v>14</v>
      </c>
      <c r="C272" t="s">
        <v>2252</v>
      </c>
      <c r="D272" t="s">
        <v>2253</v>
      </c>
      <c r="E272" t="s">
        <v>2254</v>
      </c>
      <c r="F272" t="s">
        <v>2192</v>
      </c>
      <c r="G272" t="s">
        <v>2255</v>
      </c>
      <c r="H272" t="s">
        <v>18</v>
      </c>
      <c r="I272" t="s">
        <v>994</v>
      </c>
    </row>
    <row r="273" spans="1:9" ht="11.25" customHeight="1">
      <c r="A273" t="s">
        <v>2160</v>
      </c>
      <c r="B273" t="s">
        <v>14</v>
      </c>
      <c r="C273" t="s">
        <v>2260</v>
      </c>
      <c r="D273" t="s">
        <v>2261</v>
      </c>
      <c r="E273" t="s">
        <v>2262</v>
      </c>
      <c r="F273" t="s">
        <v>2246</v>
      </c>
      <c r="G273" t="s">
        <v>18</v>
      </c>
      <c r="H273" t="s">
        <v>18</v>
      </c>
      <c r="I273" t="s">
        <v>994</v>
      </c>
    </row>
    <row r="274" spans="1:9" ht="11.25" customHeight="1">
      <c r="A274" t="s">
        <v>2160</v>
      </c>
      <c r="B274" t="s">
        <v>14</v>
      </c>
      <c r="C274" t="s">
        <v>2280</v>
      </c>
      <c r="D274" t="s">
        <v>2281</v>
      </c>
      <c r="E274" t="s">
        <v>2282</v>
      </c>
      <c r="F274" t="s">
        <v>2283</v>
      </c>
      <c r="G274" t="s">
        <v>18</v>
      </c>
      <c r="H274" t="s">
        <v>18</v>
      </c>
      <c r="I274" t="s">
        <v>994</v>
      </c>
    </row>
    <row r="275" spans="1:9" ht="11.25" customHeight="1">
      <c r="A275" t="s">
        <v>2160</v>
      </c>
      <c r="B275" t="s">
        <v>14</v>
      </c>
      <c r="C275" t="s">
        <v>2288</v>
      </c>
      <c r="D275" t="s">
        <v>2289</v>
      </c>
      <c r="E275" t="s">
        <v>2290</v>
      </c>
      <c r="F275" t="s">
        <v>2291</v>
      </c>
      <c r="G275" t="s">
        <v>2292</v>
      </c>
      <c r="H275" t="s">
        <v>18</v>
      </c>
      <c r="I275" t="s">
        <v>994</v>
      </c>
    </row>
    <row r="276" spans="1:9" ht="11.25" customHeight="1">
      <c r="A276" t="s">
        <v>2160</v>
      </c>
      <c r="B276" t="s">
        <v>14</v>
      </c>
      <c r="C276" t="s">
        <v>2823</v>
      </c>
      <c r="D276" t="s">
        <v>2824</v>
      </c>
      <c r="E276" t="s">
        <v>2222</v>
      </c>
      <c r="F276" t="s">
        <v>2176</v>
      </c>
      <c r="G276" t="s">
        <v>2825</v>
      </c>
      <c r="H276" t="s">
        <v>18</v>
      </c>
      <c r="I276" t="s">
        <v>994</v>
      </c>
    </row>
    <row r="277" spans="1:9" ht="11.25" customHeight="1">
      <c r="A277" t="s">
        <v>2160</v>
      </c>
      <c r="B277" t="s">
        <v>14</v>
      </c>
      <c r="C277" t="s">
        <v>2305</v>
      </c>
      <c r="D277" t="s">
        <v>2306</v>
      </c>
      <c r="E277" t="s">
        <v>2307</v>
      </c>
      <c r="F277" t="s">
        <v>2308</v>
      </c>
      <c r="G277" t="s">
        <v>18</v>
      </c>
      <c r="H277" t="s">
        <v>18</v>
      </c>
      <c r="I277" t="s">
        <v>994</v>
      </c>
    </row>
    <row r="278" spans="1:9" ht="11.25" customHeight="1">
      <c r="A278" t="s">
        <v>2160</v>
      </c>
      <c r="B278" t="s">
        <v>14</v>
      </c>
      <c r="C278" t="s">
        <v>2309</v>
      </c>
      <c r="D278" t="s">
        <v>2310</v>
      </c>
      <c r="E278" t="s">
        <v>2311</v>
      </c>
      <c r="F278" t="s">
        <v>2312</v>
      </c>
      <c r="G278" t="s">
        <v>2313</v>
      </c>
      <c r="H278" t="s">
        <v>18</v>
      </c>
      <c r="I278" t="s">
        <v>994</v>
      </c>
    </row>
    <row r="279" spans="1:9" ht="11.25" customHeight="1">
      <c r="A279" t="s">
        <v>2160</v>
      </c>
      <c r="B279" t="s">
        <v>14</v>
      </c>
      <c r="C279" t="s">
        <v>2318</v>
      </c>
      <c r="D279" t="s">
        <v>2319</v>
      </c>
      <c r="E279" t="s">
        <v>2320</v>
      </c>
      <c r="F279" t="s">
        <v>2312</v>
      </c>
      <c r="G279" t="s">
        <v>2321</v>
      </c>
      <c r="H279" t="s">
        <v>18</v>
      </c>
      <c r="I279" t="s">
        <v>994</v>
      </c>
    </row>
    <row r="280" spans="1:9" ht="11.25" customHeight="1">
      <c r="A280" t="s">
        <v>2160</v>
      </c>
      <c r="B280" t="s">
        <v>14</v>
      </c>
      <c r="C280" t="s">
        <v>2826</v>
      </c>
      <c r="D280" t="s">
        <v>2827</v>
      </c>
      <c r="E280" t="s">
        <v>2828</v>
      </c>
      <c r="F280" t="s">
        <v>2246</v>
      </c>
      <c r="G280" t="s">
        <v>18</v>
      </c>
      <c r="H280" t="s">
        <v>18</v>
      </c>
      <c r="I280" t="s">
        <v>994</v>
      </c>
    </row>
    <row r="281" spans="1:9" ht="11.25" customHeight="1">
      <c r="A281" t="s">
        <v>2160</v>
      </c>
      <c r="B281" t="s">
        <v>14</v>
      </c>
      <c r="C281" t="s">
        <v>2322</v>
      </c>
      <c r="D281" t="s">
        <v>2323</v>
      </c>
      <c r="E281" t="s">
        <v>2324</v>
      </c>
      <c r="F281" t="s">
        <v>2187</v>
      </c>
      <c r="G281" t="s">
        <v>18</v>
      </c>
      <c r="H281" t="s">
        <v>18</v>
      </c>
      <c r="I281" t="s">
        <v>994</v>
      </c>
    </row>
    <row r="282" spans="1:9" ht="11.25" customHeight="1">
      <c r="A282" t="s">
        <v>2160</v>
      </c>
      <c r="B282" t="s">
        <v>14</v>
      </c>
      <c r="C282" t="s">
        <v>2325</v>
      </c>
      <c r="D282" t="s">
        <v>2326</v>
      </c>
      <c r="E282" t="s">
        <v>2327</v>
      </c>
      <c r="F282" t="s">
        <v>2187</v>
      </c>
      <c r="G282" t="s">
        <v>18</v>
      </c>
      <c r="H282" t="s">
        <v>18</v>
      </c>
      <c r="I282" t="s">
        <v>994</v>
      </c>
    </row>
    <row r="283" spans="1:9" ht="11.25" customHeight="1">
      <c r="A283" t="s">
        <v>2160</v>
      </c>
      <c r="B283" t="s">
        <v>14</v>
      </c>
      <c r="C283" t="s">
        <v>2328</v>
      </c>
      <c r="D283" t="s">
        <v>2329</v>
      </c>
      <c r="E283" t="s">
        <v>2330</v>
      </c>
      <c r="F283" t="s">
        <v>2218</v>
      </c>
      <c r="G283" t="s">
        <v>18</v>
      </c>
      <c r="H283" t="s">
        <v>18</v>
      </c>
      <c r="I283" t="s">
        <v>994</v>
      </c>
    </row>
    <row r="284" spans="1:9" ht="11.25" customHeight="1">
      <c r="A284" t="s">
        <v>2160</v>
      </c>
      <c r="B284" t="s">
        <v>14</v>
      </c>
      <c r="C284" t="s">
        <v>2331</v>
      </c>
      <c r="D284" t="s">
        <v>2332</v>
      </c>
      <c r="E284" t="s">
        <v>2333</v>
      </c>
      <c r="F284" t="s">
        <v>2334</v>
      </c>
      <c r="G284" t="s">
        <v>2335</v>
      </c>
      <c r="H284" t="s">
        <v>18</v>
      </c>
      <c r="I284" t="s">
        <v>994</v>
      </c>
    </row>
    <row r="285" spans="1:9" ht="11.25" customHeight="1">
      <c r="A285" t="s">
        <v>2160</v>
      </c>
      <c r="B285" t="s">
        <v>14</v>
      </c>
      <c r="C285" t="s">
        <v>2336</v>
      </c>
      <c r="D285" t="s">
        <v>2337</v>
      </c>
      <c r="E285" t="s">
        <v>2338</v>
      </c>
      <c r="F285" t="s">
        <v>2334</v>
      </c>
      <c r="G285" t="s">
        <v>2339</v>
      </c>
      <c r="H285" t="s">
        <v>18</v>
      </c>
      <c r="I285" t="s">
        <v>994</v>
      </c>
    </row>
    <row r="286" spans="1:9" ht="11.25" customHeight="1">
      <c r="A286" t="s">
        <v>2160</v>
      </c>
      <c r="B286" t="s">
        <v>14</v>
      </c>
      <c r="C286" t="s">
        <v>2343</v>
      </c>
      <c r="D286" t="s">
        <v>2344</v>
      </c>
      <c r="E286" t="s">
        <v>2345</v>
      </c>
      <c r="F286" t="s">
        <v>2230</v>
      </c>
      <c r="G286" t="s">
        <v>18</v>
      </c>
      <c r="H286" t="s">
        <v>18</v>
      </c>
      <c r="I286" t="s">
        <v>994</v>
      </c>
    </row>
    <row r="287" spans="1:9" ht="11.25" customHeight="1">
      <c r="A287" t="s">
        <v>2160</v>
      </c>
      <c r="B287" t="s">
        <v>14</v>
      </c>
      <c r="C287" t="s">
        <v>2346</v>
      </c>
      <c r="D287" t="s">
        <v>2347</v>
      </c>
      <c r="E287" t="s">
        <v>2348</v>
      </c>
      <c r="F287" t="s">
        <v>2218</v>
      </c>
      <c r="G287" t="s">
        <v>2349</v>
      </c>
      <c r="H287" t="s">
        <v>18</v>
      </c>
      <c r="I287" t="s">
        <v>994</v>
      </c>
    </row>
    <row r="288" spans="1:9" ht="11.25" customHeight="1">
      <c r="A288" t="s">
        <v>2160</v>
      </c>
      <c r="B288" t="s">
        <v>14</v>
      </c>
      <c r="C288" t="s">
        <v>2357</v>
      </c>
      <c r="D288" t="s">
        <v>2358</v>
      </c>
      <c r="E288" t="s">
        <v>2359</v>
      </c>
      <c r="F288" t="s">
        <v>2176</v>
      </c>
      <c r="G288" t="s">
        <v>2360</v>
      </c>
      <c r="H288" t="s">
        <v>18</v>
      </c>
      <c r="I288" t="s">
        <v>994</v>
      </c>
    </row>
    <row r="289" spans="1:9" ht="11.25" customHeight="1">
      <c r="A289" t="s">
        <v>2160</v>
      </c>
      <c r="B289" t="s">
        <v>14</v>
      </c>
      <c r="C289" t="s">
        <v>2361</v>
      </c>
      <c r="D289" t="s">
        <v>2362</v>
      </c>
      <c r="E289" t="s">
        <v>2363</v>
      </c>
      <c r="F289" t="s">
        <v>2364</v>
      </c>
      <c r="G289" t="s">
        <v>18</v>
      </c>
      <c r="H289" t="s">
        <v>18</v>
      </c>
      <c r="I289" t="s">
        <v>994</v>
      </c>
    </row>
    <row r="290" spans="1:9" ht="11.25" customHeight="1">
      <c r="A290" t="s">
        <v>2160</v>
      </c>
      <c r="B290" t="s">
        <v>14</v>
      </c>
      <c r="C290" t="s">
        <v>2365</v>
      </c>
      <c r="D290" t="s">
        <v>2366</v>
      </c>
      <c r="E290" t="s">
        <v>2367</v>
      </c>
      <c r="F290" t="s">
        <v>2312</v>
      </c>
      <c r="G290" t="s">
        <v>18</v>
      </c>
      <c r="H290" t="s">
        <v>18</v>
      </c>
      <c r="I290" t="s">
        <v>994</v>
      </c>
    </row>
    <row r="291" spans="1:9" ht="11.25" customHeight="1">
      <c r="A291" t="s">
        <v>2160</v>
      </c>
      <c r="B291" t="s">
        <v>14</v>
      </c>
      <c r="C291" t="s">
        <v>2368</v>
      </c>
      <c r="D291" t="s">
        <v>2369</v>
      </c>
      <c r="E291" t="s">
        <v>2370</v>
      </c>
      <c r="F291" t="s">
        <v>2371</v>
      </c>
      <c r="G291" t="s">
        <v>18</v>
      </c>
      <c r="H291" t="s">
        <v>18</v>
      </c>
      <c r="I291" t="s">
        <v>994</v>
      </c>
    </row>
    <row r="292" spans="1:9" ht="11.25" customHeight="1">
      <c r="A292" t="s">
        <v>2160</v>
      </c>
      <c r="B292" t="s">
        <v>14</v>
      </c>
      <c r="C292" t="s">
        <v>2372</v>
      </c>
      <c r="D292" t="s">
        <v>2373</v>
      </c>
      <c r="E292" t="s">
        <v>2374</v>
      </c>
      <c r="F292" t="s">
        <v>2312</v>
      </c>
      <c r="G292" t="s">
        <v>18</v>
      </c>
      <c r="H292" t="s">
        <v>18</v>
      </c>
      <c r="I292" t="s">
        <v>994</v>
      </c>
    </row>
    <row r="293" spans="1:9" ht="11.25" customHeight="1">
      <c r="A293" t="s">
        <v>2160</v>
      </c>
      <c r="B293" t="s">
        <v>14</v>
      </c>
      <c r="C293" t="s">
        <v>2375</v>
      </c>
      <c r="D293" t="s">
        <v>2376</v>
      </c>
      <c r="E293" t="s">
        <v>2377</v>
      </c>
      <c r="F293" t="s">
        <v>2378</v>
      </c>
      <c r="G293" t="s">
        <v>18</v>
      </c>
      <c r="H293" t="s">
        <v>18</v>
      </c>
      <c r="I293" t="s">
        <v>994</v>
      </c>
    </row>
    <row r="294" spans="1:9" ht="11.25" customHeight="1">
      <c r="A294" t="s">
        <v>2160</v>
      </c>
      <c r="B294" t="s">
        <v>14</v>
      </c>
      <c r="C294" t="s">
        <v>2379</v>
      </c>
      <c r="D294" t="s">
        <v>2380</v>
      </c>
      <c r="E294" t="s">
        <v>2381</v>
      </c>
      <c r="F294" t="s">
        <v>2168</v>
      </c>
      <c r="G294" t="s">
        <v>18</v>
      </c>
      <c r="H294" t="s">
        <v>18</v>
      </c>
      <c r="I294" t="s">
        <v>994</v>
      </c>
    </row>
    <row r="295" spans="1:9" ht="11.25" customHeight="1">
      <c r="A295" t="s">
        <v>2160</v>
      </c>
      <c r="B295" t="s">
        <v>14</v>
      </c>
      <c r="C295" t="s">
        <v>2382</v>
      </c>
      <c r="D295" t="s">
        <v>2383</v>
      </c>
      <c r="E295" t="s">
        <v>2384</v>
      </c>
      <c r="F295" t="s">
        <v>2385</v>
      </c>
      <c r="G295" t="s">
        <v>18</v>
      </c>
      <c r="H295" t="s">
        <v>18</v>
      </c>
      <c r="I295" t="s">
        <v>994</v>
      </c>
    </row>
    <row r="296" spans="1:9" ht="11.25" customHeight="1">
      <c r="A296" t="s">
        <v>2160</v>
      </c>
      <c r="B296" t="s">
        <v>14</v>
      </c>
      <c r="C296" t="s">
        <v>2386</v>
      </c>
      <c r="D296" t="s">
        <v>2387</v>
      </c>
      <c r="E296" t="s">
        <v>2388</v>
      </c>
      <c r="F296" t="s">
        <v>2168</v>
      </c>
      <c r="G296" t="s">
        <v>2389</v>
      </c>
      <c r="H296" t="s">
        <v>18</v>
      </c>
      <c r="I296" t="s">
        <v>994</v>
      </c>
    </row>
    <row r="297" spans="1:9" ht="11.25" customHeight="1">
      <c r="A297" t="s">
        <v>2160</v>
      </c>
      <c r="B297" t="s">
        <v>14</v>
      </c>
      <c r="C297" t="s">
        <v>2394</v>
      </c>
      <c r="D297" t="s">
        <v>2395</v>
      </c>
      <c r="E297" t="s">
        <v>2396</v>
      </c>
      <c r="F297" t="s">
        <v>2168</v>
      </c>
      <c r="G297" t="s">
        <v>2389</v>
      </c>
      <c r="H297" t="s">
        <v>18</v>
      </c>
      <c r="I297" t="s">
        <v>994</v>
      </c>
    </row>
    <row r="298" spans="1:9" ht="11.25" customHeight="1">
      <c r="A298" t="s">
        <v>2160</v>
      </c>
      <c r="B298" t="s">
        <v>14</v>
      </c>
      <c r="C298" t="s">
        <v>2397</v>
      </c>
      <c r="D298" t="s">
        <v>2398</v>
      </c>
      <c r="E298" t="s">
        <v>2399</v>
      </c>
      <c r="F298" t="s">
        <v>2230</v>
      </c>
      <c r="G298" t="s">
        <v>18</v>
      </c>
      <c r="H298" t="s">
        <v>18</v>
      </c>
      <c r="I298" t="s">
        <v>994</v>
      </c>
    </row>
    <row r="299" spans="1:9" ht="11.25" customHeight="1">
      <c r="A299" t="s">
        <v>2160</v>
      </c>
      <c r="B299" t="s">
        <v>14</v>
      </c>
      <c r="C299" t="s">
        <v>2400</v>
      </c>
      <c r="D299" t="s">
        <v>2401</v>
      </c>
      <c r="E299" t="s">
        <v>2402</v>
      </c>
      <c r="F299" t="s">
        <v>2192</v>
      </c>
      <c r="G299" t="s">
        <v>2403</v>
      </c>
      <c r="H299" t="s">
        <v>18</v>
      </c>
      <c r="I299" t="s">
        <v>994</v>
      </c>
    </row>
    <row r="300" spans="1:9" ht="11.25" customHeight="1">
      <c r="A300" t="s">
        <v>2160</v>
      </c>
      <c r="B300" t="s">
        <v>14</v>
      </c>
      <c r="C300" t="s">
        <v>2829</v>
      </c>
      <c r="D300" t="s">
        <v>2830</v>
      </c>
      <c r="E300" t="s">
        <v>2831</v>
      </c>
      <c r="F300" t="s">
        <v>2176</v>
      </c>
      <c r="G300" t="s">
        <v>18</v>
      </c>
      <c r="H300" t="s">
        <v>18</v>
      </c>
      <c r="I300" t="s">
        <v>994</v>
      </c>
    </row>
    <row r="301" spans="1:9" ht="11.25" customHeight="1">
      <c r="A301" t="s">
        <v>2160</v>
      </c>
      <c r="B301" t="s">
        <v>14</v>
      </c>
      <c r="C301" t="s">
        <v>2832</v>
      </c>
      <c r="D301" t="s">
        <v>2833</v>
      </c>
      <c r="E301" t="s">
        <v>2834</v>
      </c>
      <c r="F301" t="s">
        <v>2176</v>
      </c>
      <c r="G301" t="s">
        <v>18</v>
      </c>
      <c r="H301" t="s">
        <v>18</v>
      </c>
      <c r="I301" t="s">
        <v>994</v>
      </c>
    </row>
    <row r="302" spans="1:9" ht="11.25" customHeight="1">
      <c r="A302" t="s">
        <v>2160</v>
      </c>
      <c r="B302" t="s">
        <v>14</v>
      </c>
      <c r="C302" t="s">
        <v>2407</v>
      </c>
      <c r="D302" t="s">
        <v>2408</v>
      </c>
      <c r="E302" t="s">
        <v>2409</v>
      </c>
      <c r="F302" t="s">
        <v>2168</v>
      </c>
      <c r="G302" t="s">
        <v>2410</v>
      </c>
      <c r="H302" t="s">
        <v>18</v>
      </c>
      <c r="I302" t="s">
        <v>994</v>
      </c>
    </row>
    <row r="303" spans="1:9" ht="11.25" customHeight="1">
      <c r="A303" t="s">
        <v>2160</v>
      </c>
      <c r="B303" t="s">
        <v>14</v>
      </c>
      <c r="C303" t="s">
        <v>2411</v>
      </c>
      <c r="D303" t="s">
        <v>2412</v>
      </c>
      <c r="E303" t="s">
        <v>2413</v>
      </c>
      <c r="F303" t="s">
        <v>2414</v>
      </c>
      <c r="G303" t="s">
        <v>18</v>
      </c>
      <c r="H303" t="s">
        <v>2415</v>
      </c>
      <c r="I303" t="s">
        <v>994</v>
      </c>
    </row>
    <row r="304" spans="1:9" ht="11.25" customHeight="1">
      <c r="A304" t="s">
        <v>2160</v>
      </c>
      <c r="B304" t="s">
        <v>14</v>
      </c>
      <c r="C304" t="s">
        <v>2416</v>
      </c>
      <c r="D304" t="s">
        <v>2417</v>
      </c>
      <c r="E304" t="s">
        <v>2418</v>
      </c>
      <c r="F304" t="s">
        <v>2371</v>
      </c>
      <c r="G304" t="s">
        <v>18</v>
      </c>
      <c r="H304" t="s">
        <v>18</v>
      </c>
      <c r="I304" t="s">
        <v>994</v>
      </c>
    </row>
    <row r="305" spans="1:9" ht="11.25" customHeight="1">
      <c r="A305" t="s">
        <v>2160</v>
      </c>
      <c r="B305" t="s">
        <v>14</v>
      </c>
      <c r="C305" t="s">
        <v>2419</v>
      </c>
      <c r="D305" t="s">
        <v>2420</v>
      </c>
      <c r="E305" t="s">
        <v>2421</v>
      </c>
      <c r="F305" t="s">
        <v>2422</v>
      </c>
      <c r="G305" t="s">
        <v>18</v>
      </c>
      <c r="H305" t="s">
        <v>18</v>
      </c>
      <c r="I305" t="s">
        <v>994</v>
      </c>
    </row>
    <row r="306" spans="1:9" ht="11.25" customHeight="1">
      <c r="A306" t="s">
        <v>2160</v>
      </c>
      <c r="B306" t="s">
        <v>14</v>
      </c>
      <c r="C306" t="s">
        <v>2440</v>
      </c>
      <c r="D306" t="s">
        <v>2441</v>
      </c>
      <c r="E306" t="s">
        <v>2421</v>
      </c>
      <c r="F306" t="s">
        <v>2317</v>
      </c>
      <c r="G306" t="s">
        <v>18</v>
      </c>
      <c r="H306" t="s">
        <v>18</v>
      </c>
      <c r="I306" t="s">
        <v>994</v>
      </c>
    </row>
    <row r="307" spans="1:9" ht="11.25" customHeight="1">
      <c r="A307" t="s">
        <v>2160</v>
      </c>
      <c r="B307" t="s">
        <v>14</v>
      </c>
      <c r="C307" t="s">
        <v>2835</v>
      </c>
      <c r="D307" t="s">
        <v>2836</v>
      </c>
      <c r="E307" t="s">
        <v>2290</v>
      </c>
      <c r="F307" t="s">
        <v>2837</v>
      </c>
      <c r="G307" t="s">
        <v>18</v>
      </c>
      <c r="H307" t="s">
        <v>18</v>
      </c>
      <c r="I307" t="s">
        <v>994</v>
      </c>
    </row>
    <row r="308" spans="1:9" ht="11.25" customHeight="1">
      <c r="A308" t="s">
        <v>2160</v>
      </c>
      <c r="B308" t="s">
        <v>14</v>
      </c>
      <c r="C308" t="s">
        <v>2452</v>
      </c>
      <c r="D308" t="s">
        <v>2453</v>
      </c>
      <c r="E308" t="s">
        <v>2454</v>
      </c>
      <c r="F308" t="s">
        <v>2218</v>
      </c>
      <c r="G308" t="s">
        <v>18</v>
      </c>
      <c r="H308" t="s">
        <v>18</v>
      </c>
      <c r="I308" t="s">
        <v>994</v>
      </c>
    </row>
    <row r="309" spans="1:9" ht="11.25" customHeight="1">
      <c r="A309" t="s">
        <v>2160</v>
      </c>
      <c r="B309" t="s">
        <v>14</v>
      </c>
      <c r="C309" t="s">
        <v>2838</v>
      </c>
      <c r="D309" t="s">
        <v>2839</v>
      </c>
      <c r="E309" t="s">
        <v>2840</v>
      </c>
      <c r="F309" t="s">
        <v>2234</v>
      </c>
      <c r="G309" t="s">
        <v>2841</v>
      </c>
      <c r="H309" t="s">
        <v>18</v>
      </c>
      <c r="I309" t="s">
        <v>994</v>
      </c>
    </row>
    <row r="310" spans="1:9" ht="11.25" customHeight="1">
      <c r="A310" t="s">
        <v>2160</v>
      </c>
      <c r="B310" t="s">
        <v>14</v>
      </c>
      <c r="C310" t="s">
        <v>2459</v>
      </c>
      <c r="D310" t="s">
        <v>2460</v>
      </c>
      <c r="E310" t="s">
        <v>2461</v>
      </c>
      <c r="F310" t="s">
        <v>2385</v>
      </c>
      <c r="G310" t="s">
        <v>2462</v>
      </c>
      <c r="H310" t="s">
        <v>18</v>
      </c>
      <c r="I310" t="s">
        <v>994</v>
      </c>
    </row>
    <row r="311" spans="1:9" ht="11.25" customHeight="1">
      <c r="A311" t="s">
        <v>2160</v>
      </c>
      <c r="B311" t="s">
        <v>14</v>
      </c>
      <c r="C311" t="s">
        <v>2463</v>
      </c>
      <c r="D311" t="s">
        <v>2464</v>
      </c>
      <c r="E311" t="s">
        <v>2465</v>
      </c>
      <c r="F311" t="s">
        <v>2466</v>
      </c>
      <c r="G311" t="s">
        <v>2467</v>
      </c>
      <c r="H311" t="s">
        <v>18</v>
      </c>
      <c r="I311" t="s">
        <v>994</v>
      </c>
    </row>
    <row r="312" spans="1:9" ht="11.25" customHeight="1">
      <c r="A312" t="s">
        <v>2160</v>
      </c>
      <c r="B312" t="s">
        <v>14</v>
      </c>
      <c r="C312" t="s">
        <v>2468</v>
      </c>
      <c r="D312" t="s">
        <v>2464</v>
      </c>
      <c r="E312" t="s">
        <v>2465</v>
      </c>
      <c r="F312" t="s">
        <v>2469</v>
      </c>
      <c r="G312" t="s">
        <v>18</v>
      </c>
      <c r="H312" t="s">
        <v>18</v>
      </c>
      <c r="I312" t="s">
        <v>994</v>
      </c>
    </row>
    <row r="313" spans="1:9" ht="11.25" customHeight="1">
      <c r="A313" t="s">
        <v>2160</v>
      </c>
      <c r="B313" t="s">
        <v>14</v>
      </c>
      <c r="C313" t="s">
        <v>2473</v>
      </c>
      <c r="D313" t="s">
        <v>2474</v>
      </c>
      <c r="E313" t="s">
        <v>2163</v>
      </c>
      <c r="F313" t="s">
        <v>2475</v>
      </c>
      <c r="G313" t="s">
        <v>18</v>
      </c>
      <c r="H313" t="s">
        <v>18</v>
      </c>
      <c r="I313" t="s">
        <v>994</v>
      </c>
    </row>
    <row r="314" spans="1:9" ht="11.25" customHeight="1">
      <c r="A314" t="s">
        <v>2160</v>
      </c>
      <c r="B314" t="s">
        <v>14</v>
      </c>
      <c r="C314" t="s">
        <v>2476</v>
      </c>
      <c r="D314" t="s">
        <v>2477</v>
      </c>
      <c r="E314" t="s">
        <v>2163</v>
      </c>
      <c r="F314" t="s">
        <v>2478</v>
      </c>
      <c r="G314" t="s">
        <v>18</v>
      </c>
      <c r="H314" t="s">
        <v>18</v>
      </c>
      <c r="I314" t="s">
        <v>994</v>
      </c>
    </row>
    <row r="315" spans="1:9" ht="11.25" customHeight="1">
      <c r="A315" t="s">
        <v>2160</v>
      </c>
      <c r="B315" t="s">
        <v>14</v>
      </c>
      <c r="C315" t="s">
        <v>2479</v>
      </c>
      <c r="D315" t="s">
        <v>2480</v>
      </c>
      <c r="E315" t="s">
        <v>2163</v>
      </c>
      <c r="F315" t="s">
        <v>2481</v>
      </c>
      <c r="G315" t="s">
        <v>18</v>
      </c>
      <c r="H315" t="s">
        <v>18</v>
      </c>
      <c r="I315" t="s">
        <v>994</v>
      </c>
    </row>
    <row r="316" spans="1:9" ht="11.25" customHeight="1">
      <c r="A316" t="s">
        <v>2160</v>
      </c>
      <c r="B316" t="s">
        <v>14</v>
      </c>
      <c r="C316" t="s">
        <v>2482</v>
      </c>
      <c r="D316" t="s">
        <v>2483</v>
      </c>
      <c r="E316" t="s">
        <v>2163</v>
      </c>
      <c r="F316" t="s">
        <v>2484</v>
      </c>
      <c r="G316" t="s">
        <v>18</v>
      </c>
      <c r="H316" t="s">
        <v>18</v>
      </c>
      <c r="I316" t="s">
        <v>994</v>
      </c>
    </row>
    <row r="317" spans="1:9" ht="11.25" customHeight="1">
      <c r="A317" t="s">
        <v>2160</v>
      </c>
      <c r="B317" t="s">
        <v>14</v>
      </c>
      <c r="C317" t="s">
        <v>2485</v>
      </c>
      <c r="D317" t="s">
        <v>2486</v>
      </c>
      <c r="E317" t="s">
        <v>2163</v>
      </c>
      <c r="F317" t="s">
        <v>2487</v>
      </c>
      <c r="G317" t="s">
        <v>18</v>
      </c>
      <c r="H317" t="s">
        <v>18</v>
      </c>
      <c r="I317" t="s">
        <v>994</v>
      </c>
    </row>
    <row r="318" spans="1:9" ht="11.25" customHeight="1">
      <c r="A318" t="s">
        <v>2160</v>
      </c>
      <c r="B318" t="s">
        <v>14</v>
      </c>
      <c r="C318" t="s">
        <v>2488</v>
      </c>
      <c r="D318" t="s">
        <v>2489</v>
      </c>
      <c r="E318" t="s">
        <v>2163</v>
      </c>
      <c r="F318" t="s">
        <v>2490</v>
      </c>
      <c r="G318" t="s">
        <v>18</v>
      </c>
      <c r="H318" t="s">
        <v>18</v>
      </c>
      <c r="I318" t="s">
        <v>994</v>
      </c>
    </row>
    <row r="319" spans="1:9" ht="11.25" customHeight="1">
      <c r="A319" t="s">
        <v>2160</v>
      </c>
      <c r="B319" t="s">
        <v>14</v>
      </c>
      <c r="C319" t="s">
        <v>2491</v>
      </c>
      <c r="D319" t="s">
        <v>2492</v>
      </c>
      <c r="E319" t="s">
        <v>2163</v>
      </c>
      <c r="F319" t="s">
        <v>2493</v>
      </c>
      <c r="G319" t="s">
        <v>18</v>
      </c>
      <c r="H319" t="s">
        <v>18</v>
      </c>
      <c r="I319" t="s">
        <v>994</v>
      </c>
    </row>
    <row r="320" spans="1:9" ht="11.25" customHeight="1">
      <c r="A320" t="s">
        <v>2160</v>
      </c>
      <c r="B320" t="s">
        <v>14</v>
      </c>
      <c r="C320" t="s">
        <v>2494</v>
      </c>
      <c r="D320" t="s">
        <v>2495</v>
      </c>
      <c r="E320" t="s">
        <v>2163</v>
      </c>
      <c r="F320" t="s">
        <v>2496</v>
      </c>
      <c r="G320" t="s">
        <v>18</v>
      </c>
      <c r="H320" t="s">
        <v>18</v>
      </c>
      <c r="I320" t="s">
        <v>994</v>
      </c>
    </row>
    <row r="321" spans="1:9" ht="11.25" customHeight="1">
      <c r="A321" t="s">
        <v>2160</v>
      </c>
      <c r="B321" t="s">
        <v>14</v>
      </c>
      <c r="C321" t="s">
        <v>2497</v>
      </c>
      <c r="D321" t="s">
        <v>2498</v>
      </c>
      <c r="E321" t="s">
        <v>2163</v>
      </c>
      <c r="F321" t="s">
        <v>2499</v>
      </c>
      <c r="G321" t="s">
        <v>18</v>
      </c>
      <c r="H321" t="s">
        <v>18</v>
      </c>
      <c r="I321" t="s">
        <v>994</v>
      </c>
    </row>
    <row r="322" spans="1:9" ht="11.25" customHeight="1">
      <c r="A322" t="s">
        <v>2160</v>
      </c>
      <c r="B322" t="s">
        <v>14</v>
      </c>
      <c r="C322" t="s">
        <v>2500</v>
      </c>
      <c r="D322" t="s">
        <v>2501</v>
      </c>
      <c r="E322" t="s">
        <v>2163</v>
      </c>
      <c r="F322" t="s">
        <v>2502</v>
      </c>
      <c r="G322" t="s">
        <v>18</v>
      </c>
      <c r="H322" t="s">
        <v>18</v>
      </c>
      <c r="I322" t="s">
        <v>994</v>
      </c>
    </row>
    <row r="323" spans="1:9" ht="11.25" customHeight="1">
      <c r="A323" t="s">
        <v>2160</v>
      </c>
      <c r="B323" t="s">
        <v>14</v>
      </c>
      <c r="C323" t="s">
        <v>2842</v>
      </c>
      <c r="D323" t="s">
        <v>2843</v>
      </c>
      <c r="E323" t="s">
        <v>2307</v>
      </c>
      <c r="F323" t="s">
        <v>2844</v>
      </c>
      <c r="G323" t="s">
        <v>18</v>
      </c>
      <c r="H323" t="s">
        <v>18</v>
      </c>
      <c r="I323" t="s">
        <v>994</v>
      </c>
    </row>
    <row r="324" spans="1:9" ht="11.25" customHeight="1">
      <c r="A324" t="s">
        <v>2160</v>
      </c>
      <c r="B324" t="s">
        <v>14</v>
      </c>
      <c r="C324" t="s">
        <v>2503</v>
      </c>
      <c r="D324" t="s">
        <v>2504</v>
      </c>
      <c r="E324" t="s">
        <v>2505</v>
      </c>
      <c r="F324" t="s">
        <v>2506</v>
      </c>
      <c r="G324" t="s">
        <v>18</v>
      </c>
      <c r="H324" t="s">
        <v>18</v>
      </c>
      <c r="I324" t="s">
        <v>994</v>
      </c>
    </row>
    <row r="325" spans="1:9" ht="11.25" customHeight="1">
      <c r="A325" t="s">
        <v>2160</v>
      </c>
      <c r="B325" t="s">
        <v>14</v>
      </c>
      <c r="C325" t="s">
        <v>2507</v>
      </c>
      <c r="D325" t="s">
        <v>2508</v>
      </c>
      <c r="E325" t="s">
        <v>2505</v>
      </c>
      <c r="F325" t="s">
        <v>2509</v>
      </c>
      <c r="G325" t="s">
        <v>18</v>
      </c>
      <c r="H325" t="s">
        <v>18</v>
      </c>
      <c r="I325" t="s">
        <v>994</v>
      </c>
    </row>
    <row r="326" spans="1:9" ht="11.25" customHeight="1">
      <c r="A326" t="s">
        <v>2160</v>
      </c>
      <c r="B326" t="s">
        <v>14</v>
      </c>
      <c r="C326" t="s">
        <v>2513</v>
      </c>
      <c r="D326" t="s">
        <v>2514</v>
      </c>
      <c r="E326" t="s">
        <v>2505</v>
      </c>
      <c r="F326" t="s">
        <v>2515</v>
      </c>
      <c r="G326" t="s">
        <v>18</v>
      </c>
      <c r="H326" t="s">
        <v>18</v>
      </c>
      <c r="I326" t="s">
        <v>994</v>
      </c>
    </row>
    <row r="327" spans="1:9" ht="11.25" customHeight="1">
      <c r="A327" t="s">
        <v>2160</v>
      </c>
      <c r="B327" t="s">
        <v>14</v>
      </c>
      <c r="C327" t="s">
        <v>2516</v>
      </c>
      <c r="D327" t="s">
        <v>2517</v>
      </c>
      <c r="E327" t="s">
        <v>2518</v>
      </c>
      <c r="F327" t="s">
        <v>52</v>
      </c>
      <c r="G327" t="s">
        <v>2519</v>
      </c>
      <c r="H327" t="s">
        <v>18</v>
      </c>
      <c r="I327" t="s">
        <v>994</v>
      </c>
    </row>
    <row r="328" spans="1:9" ht="11.25" customHeight="1">
      <c r="A328" t="s">
        <v>2160</v>
      </c>
      <c r="B328" t="s">
        <v>14</v>
      </c>
      <c r="C328" t="s">
        <v>2520</v>
      </c>
      <c r="D328" t="s">
        <v>2521</v>
      </c>
      <c r="E328" t="s">
        <v>2522</v>
      </c>
      <c r="F328" t="s">
        <v>2266</v>
      </c>
      <c r="G328" t="s">
        <v>18</v>
      </c>
      <c r="H328" t="s">
        <v>2523</v>
      </c>
      <c r="I328" t="s">
        <v>994</v>
      </c>
    </row>
    <row r="329" spans="1:9" ht="11.25" customHeight="1">
      <c r="A329" t="s">
        <v>2160</v>
      </c>
      <c r="B329" t="s">
        <v>14</v>
      </c>
      <c r="C329" t="s">
        <v>2524</v>
      </c>
      <c r="D329" t="s">
        <v>2525</v>
      </c>
      <c r="E329" t="s">
        <v>2526</v>
      </c>
      <c r="F329" t="s">
        <v>2176</v>
      </c>
      <c r="G329" t="s">
        <v>18</v>
      </c>
      <c r="H329" t="s">
        <v>18</v>
      </c>
      <c r="I329" t="s">
        <v>994</v>
      </c>
    </row>
    <row r="330" spans="1:9" ht="11.25" customHeight="1">
      <c r="A330" t="s">
        <v>2160</v>
      </c>
      <c r="B330" t="s">
        <v>14</v>
      </c>
      <c r="C330" t="s">
        <v>2530</v>
      </c>
      <c r="D330" t="s">
        <v>47</v>
      </c>
      <c r="E330" t="s">
        <v>50</v>
      </c>
      <c r="F330" t="s">
        <v>52</v>
      </c>
      <c r="G330" t="s">
        <v>2519</v>
      </c>
      <c r="H330" t="s">
        <v>18</v>
      </c>
      <c r="I330" t="s">
        <v>994</v>
      </c>
    </row>
    <row r="331" spans="1:9" ht="11.25" customHeight="1">
      <c r="A331" t="s">
        <v>2160</v>
      </c>
      <c r="B331" t="s">
        <v>14</v>
      </c>
      <c r="C331" t="s">
        <v>2531</v>
      </c>
      <c r="D331" t="s">
        <v>2532</v>
      </c>
      <c r="E331" t="s">
        <v>2171</v>
      </c>
      <c r="F331" t="s">
        <v>2533</v>
      </c>
      <c r="G331" t="s">
        <v>18</v>
      </c>
      <c r="H331" t="s">
        <v>18</v>
      </c>
      <c r="I331" t="s">
        <v>994</v>
      </c>
    </row>
    <row r="332" spans="1:9" ht="11.25" customHeight="1">
      <c r="A332" t="s">
        <v>2160</v>
      </c>
      <c r="B332" t="s">
        <v>14</v>
      </c>
      <c r="C332" t="s">
        <v>2845</v>
      </c>
      <c r="D332" t="s">
        <v>2846</v>
      </c>
      <c r="E332" t="s">
        <v>2171</v>
      </c>
      <c r="F332" t="s">
        <v>2847</v>
      </c>
      <c r="G332" t="s">
        <v>18</v>
      </c>
      <c r="H332" t="s">
        <v>18</v>
      </c>
      <c r="I332" t="s">
        <v>994</v>
      </c>
    </row>
    <row r="333" spans="1:9" ht="11.25" customHeight="1">
      <c r="A333" t="s">
        <v>2160</v>
      </c>
      <c r="B333" t="s">
        <v>14</v>
      </c>
      <c r="C333" t="s">
        <v>2536</v>
      </c>
      <c r="D333" t="s">
        <v>2537</v>
      </c>
      <c r="E333" t="s">
        <v>2538</v>
      </c>
      <c r="F333" t="s">
        <v>2539</v>
      </c>
      <c r="G333" t="s">
        <v>18</v>
      </c>
      <c r="H333" t="s">
        <v>18</v>
      </c>
      <c r="I333" t="s">
        <v>994</v>
      </c>
    </row>
    <row r="334" spans="1:9" ht="11.25" customHeight="1">
      <c r="A334" t="s">
        <v>2160</v>
      </c>
      <c r="B334" t="s">
        <v>14</v>
      </c>
      <c r="C334" t="s">
        <v>2540</v>
      </c>
      <c r="D334" t="s">
        <v>2537</v>
      </c>
      <c r="E334" t="s">
        <v>2538</v>
      </c>
      <c r="F334" t="s">
        <v>2541</v>
      </c>
      <c r="G334" t="s">
        <v>2542</v>
      </c>
      <c r="H334" t="s">
        <v>18</v>
      </c>
      <c r="I334" t="s">
        <v>994</v>
      </c>
    </row>
    <row r="335" spans="1:9" ht="11.25" customHeight="1">
      <c r="A335" t="s">
        <v>2160</v>
      </c>
      <c r="B335" t="s">
        <v>14</v>
      </c>
      <c r="C335" t="s">
        <v>2848</v>
      </c>
      <c r="D335" t="s">
        <v>2849</v>
      </c>
      <c r="E335" t="s">
        <v>2850</v>
      </c>
      <c r="F335" t="s">
        <v>2196</v>
      </c>
      <c r="G335" t="s">
        <v>18</v>
      </c>
      <c r="H335" t="s">
        <v>18</v>
      </c>
      <c r="I335" t="s">
        <v>994</v>
      </c>
    </row>
    <row r="336" spans="1:9" ht="11.25" customHeight="1">
      <c r="A336" t="s">
        <v>2160</v>
      </c>
      <c r="B336" t="s">
        <v>14</v>
      </c>
      <c r="C336" t="s">
        <v>2551</v>
      </c>
      <c r="D336" t="s">
        <v>2552</v>
      </c>
      <c r="E336" t="s">
        <v>2553</v>
      </c>
      <c r="F336" t="s">
        <v>2230</v>
      </c>
      <c r="G336" t="s">
        <v>18</v>
      </c>
      <c r="H336" t="s">
        <v>18</v>
      </c>
      <c r="I336" t="s">
        <v>994</v>
      </c>
    </row>
    <row r="337" spans="1:9" ht="11.25" customHeight="1">
      <c r="A337" t="s">
        <v>2160</v>
      </c>
      <c r="B337" t="s">
        <v>14</v>
      </c>
      <c r="C337" t="s">
        <v>2554</v>
      </c>
      <c r="D337" t="s">
        <v>2555</v>
      </c>
      <c r="E337" t="s">
        <v>2556</v>
      </c>
      <c r="F337" t="s">
        <v>2214</v>
      </c>
      <c r="G337" t="s">
        <v>18</v>
      </c>
      <c r="H337" t="s">
        <v>18</v>
      </c>
      <c r="I337" t="s">
        <v>994</v>
      </c>
    </row>
    <row r="338" spans="1:9" ht="11.25" customHeight="1">
      <c r="A338" t="s">
        <v>2160</v>
      </c>
      <c r="B338" t="s">
        <v>14</v>
      </c>
      <c r="C338" t="s">
        <v>2557</v>
      </c>
      <c r="D338" t="s">
        <v>2558</v>
      </c>
      <c r="E338" t="s">
        <v>2559</v>
      </c>
      <c r="F338" t="s">
        <v>2223</v>
      </c>
      <c r="G338" t="s">
        <v>18</v>
      </c>
      <c r="H338" t="s">
        <v>18</v>
      </c>
      <c r="I338" t="s">
        <v>994</v>
      </c>
    </row>
    <row r="339" spans="1:9" ht="11.25" customHeight="1">
      <c r="A339" t="s">
        <v>2160</v>
      </c>
      <c r="B339" t="s">
        <v>14</v>
      </c>
      <c r="C339" t="s">
        <v>2851</v>
      </c>
      <c r="D339" t="s">
        <v>2852</v>
      </c>
      <c r="E339" t="s">
        <v>2853</v>
      </c>
      <c r="F339" t="s">
        <v>2218</v>
      </c>
      <c r="G339" t="s">
        <v>18</v>
      </c>
      <c r="H339" t="s">
        <v>18</v>
      </c>
      <c r="I339" t="s">
        <v>994</v>
      </c>
    </row>
    <row r="340" spans="1:9" ht="11.25" customHeight="1">
      <c r="A340" t="s">
        <v>2160</v>
      </c>
      <c r="B340" t="s">
        <v>14</v>
      </c>
      <c r="C340" t="s">
        <v>2566</v>
      </c>
      <c r="D340" t="s">
        <v>2567</v>
      </c>
      <c r="E340" t="s">
        <v>2568</v>
      </c>
      <c r="F340" t="s">
        <v>2168</v>
      </c>
      <c r="G340" t="s">
        <v>2569</v>
      </c>
      <c r="H340" t="s">
        <v>18</v>
      </c>
      <c r="I340" t="s">
        <v>994</v>
      </c>
    </row>
    <row r="341" spans="1:9" ht="11.25" customHeight="1">
      <c r="A341" t="s">
        <v>2160</v>
      </c>
      <c r="B341" t="s">
        <v>14</v>
      </c>
      <c r="C341" t="s">
        <v>2570</v>
      </c>
      <c r="D341" t="s">
        <v>2571</v>
      </c>
      <c r="E341" t="s">
        <v>2572</v>
      </c>
      <c r="F341" t="s">
        <v>2414</v>
      </c>
      <c r="G341" t="s">
        <v>18</v>
      </c>
      <c r="H341" t="s">
        <v>2573</v>
      </c>
      <c r="I341" t="s">
        <v>994</v>
      </c>
    </row>
    <row r="342" spans="1:9" ht="11.25" customHeight="1">
      <c r="A342" t="s">
        <v>2160</v>
      </c>
      <c r="B342" t="s">
        <v>14</v>
      </c>
      <c r="C342" t="s">
        <v>2574</v>
      </c>
      <c r="D342" t="s">
        <v>2575</v>
      </c>
      <c r="E342" t="s">
        <v>2576</v>
      </c>
      <c r="F342" t="s">
        <v>2414</v>
      </c>
      <c r="G342" t="s">
        <v>18</v>
      </c>
      <c r="H342" t="s">
        <v>18</v>
      </c>
      <c r="I342" t="s">
        <v>994</v>
      </c>
    </row>
    <row r="343" spans="1:9" ht="11.25" customHeight="1">
      <c r="A343" t="s">
        <v>2160</v>
      </c>
      <c r="B343" t="s">
        <v>14</v>
      </c>
      <c r="C343" t="s">
        <v>2577</v>
      </c>
      <c r="D343" t="s">
        <v>2578</v>
      </c>
      <c r="E343" t="s">
        <v>2579</v>
      </c>
      <c r="F343" t="s">
        <v>2196</v>
      </c>
      <c r="G343" t="s">
        <v>2580</v>
      </c>
      <c r="H343" t="s">
        <v>18</v>
      </c>
      <c r="I343" t="s">
        <v>994</v>
      </c>
    </row>
    <row r="344" spans="1:9" ht="11.25" customHeight="1">
      <c r="A344" t="s">
        <v>2160</v>
      </c>
      <c r="B344" t="s">
        <v>14</v>
      </c>
      <c r="C344" t="s">
        <v>2581</v>
      </c>
      <c r="D344" t="s">
        <v>2582</v>
      </c>
      <c r="E344" t="s">
        <v>2583</v>
      </c>
      <c r="F344" t="s">
        <v>2364</v>
      </c>
      <c r="G344" t="s">
        <v>18</v>
      </c>
      <c r="H344" t="s">
        <v>18</v>
      </c>
      <c r="I344" t="s">
        <v>994</v>
      </c>
    </row>
    <row r="345" spans="1:9" ht="11.25" customHeight="1">
      <c r="A345" t="s">
        <v>2160</v>
      </c>
      <c r="B345" t="s">
        <v>14</v>
      </c>
      <c r="C345" t="s">
        <v>2854</v>
      </c>
      <c r="D345" t="s">
        <v>2855</v>
      </c>
      <c r="E345" t="s">
        <v>2856</v>
      </c>
      <c r="F345" t="s">
        <v>2230</v>
      </c>
      <c r="G345" t="s">
        <v>18</v>
      </c>
      <c r="H345" t="s">
        <v>18</v>
      </c>
      <c r="I345" t="s">
        <v>994</v>
      </c>
    </row>
    <row r="346" spans="1:9" ht="11.25" customHeight="1">
      <c r="A346" t="s">
        <v>2160</v>
      </c>
      <c r="B346" t="s">
        <v>14</v>
      </c>
      <c r="C346" t="s">
        <v>2594</v>
      </c>
      <c r="D346" t="s">
        <v>2595</v>
      </c>
      <c r="E346" t="s">
        <v>2596</v>
      </c>
      <c r="F346" t="s">
        <v>2364</v>
      </c>
      <c r="G346" t="s">
        <v>18</v>
      </c>
      <c r="H346" t="s">
        <v>18</v>
      </c>
      <c r="I346" t="s">
        <v>994</v>
      </c>
    </row>
    <row r="347" spans="1:9" ht="11.25" customHeight="1">
      <c r="A347" t="s">
        <v>2160</v>
      </c>
      <c r="B347" t="s">
        <v>14</v>
      </c>
      <c r="C347" t="s">
        <v>2597</v>
      </c>
      <c r="D347" t="s">
        <v>2598</v>
      </c>
      <c r="E347" t="s">
        <v>2599</v>
      </c>
      <c r="F347" t="s">
        <v>2414</v>
      </c>
      <c r="G347" t="s">
        <v>18</v>
      </c>
      <c r="H347" t="s">
        <v>18</v>
      </c>
      <c r="I347" t="s">
        <v>994</v>
      </c>
    </row>
    <row r="348" spans="1:9" ht="11.25" customHeight="1">
      <c r="A348" t="s">
        <v>2160</v>
      </c>
      <c r="B348" t="s">
        <v>14</v>
      </c>
      <c r="C348" t="s">
        <v>2600</v>
      </c>
      <c r="D348" t="s">
        <v>2601</v>
      </c>
      <c r="E348" t="s">
        <v>2602</v>
      </c>
      <c r="F348" t="s">
        <v>2414</v>
      </c>
      <c r="G348" t="s">
        <v>18</v>
      </c>
      <c r="H348" t="s">
        <v>2603</v>
      </c>
      <c r="I348" t="s">
        <v>994</v>
      </c>
    </row>
    <row r="349" spans="1:9" ht="11.25" customHeight="1">
      <c r="A349" t="s">
        <v>2160</v>
      </c>
      <c r="B349" t="s">
        <v>14</v>
      </c>
      <c r="C349" t="s">
        <v>2607</v>
      </c>
      <c r="D349" t="s">
        <v>2608</v>
      </c>
      <c r="E349" t="s">
        <v>2609</v>
      </c>
      <c r="F349" t="s">
        <v>2266</v>
      </c>
      <c r="G349" t="s">
        <v>2610</v>
      </c>
      <c r="H349" t="s">
        <v>18</v>
      </c>
      <c r="I349" t="s">
        <v>994</v>
      </c>
    </row>
    <row r="350" spans="1:9" ht="11.25" customHeight="1">
      <c r="A350" t="s">
        <v>2160</v>
      </c>
      <c r="B350" t="s">
        <v>14</v>
      </c>
      <c r="C350" t="s">
        <v>2617</v>
      </c>
      <c r="D350" t="s">
        <v>2618</v>
      </c>
      <c r="E350" t="s">
        <v>2619</v>
      </c>
      <c r="F350" t="s">
        <v>2620</v>
      </c>
      <c r="G350" t="s">
        <v>2621</v>
      </c>
      <c r="H350" t="s">
        <v>18</v>
      </c>
      <c r="I350" t="s">
        <v>994</v>
      </c>
    </row>
    <row r="351" spans="1:9" ht="11.25" customHeight="1">
      <c r="A351" t="s">
        <v>2160</v>
      </c>
      <c r="B351" t="s">
        <v>14</v>
      </c>
      <c r="C351" t="s">
        <v>2622</v>
      </c>
      <c r="D351" t="s">
        <v>2623</v>
      </c>
      <c r="E351" t="s">
        <v>2624</v>
      </c>
      <c r="F351" t="s">
        <v>2414</v>
      </c>
      <c r="G351" t="s">
        <v>18</v>
      </c>
      <c r="H351" t="s">
        <v>18</v>
      </c>
      <c r="I351" t="s">
        <v>994</v>
      </c>
    </row>
    <row r="352" spans="1:9" ht="11.25" customHeight="1">
      <c r="A352" t="s">
        <v>2160</v>
      </c>
      <c r="B352" t="s">
        <v>14</v>
      </c>
      <c r="C352" t="s">
        <v>2857</v>
      </c>
      <c r="D352" t="s">
        <v>2858</v>
      </c>
      <c r="E352" t="s">
        <v>2307</v>
      </c>
      <c r="F352" t="s">
        <v>2196</v>
      </c>
      <c r="G352" t="s">
        <v>18</v>
      </c>
      <c r="H352" t="s">
        <v>18</v>
      </c>
      <c r="I352" t="s">
        <v>994</v>
      </c>
    </row>
    <row r="353" spans="1:9" ht="11.25" customHeight="1">
      <c r="A353" t="s">
        <v>2160</v>
      </c>
      <c r="B353" t="s">
        <v>14</v>
      </c>
      <c r="C353" t="s">
        <v>2629</v>
      </c>
      <c r="D353" t="s">
        <v>2630</v>
      </c>
      <c r="E353" t="s">
        <v>2631</v>
      </c>
      <c r="F353" t="s">
        <v>2632</v>
      </c>
      <c r="G353" t="s">
        <v>2633</v>
      </c>
      <c r="H353" t="s">
        <v>18</v>
      </c>
      <c r="I353" t="s">
        <v>994</v>
      </c>
    </row>
    <row r="354" spans="1:9" ht="11.25" customHeight="1">
      <c r="A354" t="s">
        <v>2160</v>
      </c>
      <c r="B354" t="s">
        <v>14</v>
      </c>
      <c r="C354" t="s">
        <v>2859</v>
      </c>
      <c r="D354" t="s">
        <v>2860</v>
      </c>
      <c r="E354" t="s">
        <v>2861</v>
      </c>
      <c r="F354" t="s">
        <v>2196</v>
      </c>
      <c r="G354" t="s">
        <v>18</v>
      </c>
      <c r="H354" t="s">
        <v>18</v>
      </c>
      <c r="I354" t="s">
        <v>994</v>
      </c>
    </row>
    <row r="355" spans="1:9" ht="11.25" customHeight="1">
      <c r="A355" t="s">
        <v>2160</v>
      </c>
      <c r="B355" t="s">
        <v>14</v>
      </c>
      <c r="C355" t="s">
        <v>2643</v>
      </c>
      <c r="D355" t="s">
        <v>2644</v>
      </c>
      <c r="E355" t="s">
        <v>2645</v>
      </c>
      <c r="F355" t="s">
        <v>2230</v>
      </c>
      <c r="G355" t="s">
        <v>18</v>
      </c>
      <c r="H355" t="s">
        <v>18</v>
      </c>
      <c r="I355" t="s">
        <v>994</v>
      </c>
    </row>
    <row r="356" spans="1:9" ht="11.25" customHeight="1">
      <c r="A356" t="s">
        <v>2160</v>
      </c>
      <c r="B356" t="s">
        <v>14</v>
      </c>
      <c r="C356" t="s">
        <v>2862</v>
      </c>
      <c r="D356" t="s">
        <v>2863</v>
      </c>
      <c r="E356" t="s">
        <v>2864</v>
      </c>
      <c r="F356" t="s">
        <v>2230</v>
      </c>
      <c r="G356" t="s">
        <v>18</v>
      </c>
      <c r="H356" t="s">
        <v>18</v>
      </c>
      <c r="I356" t="s">
        <v>994</v>
      </c>
    </row>
    <row r="357" spans="1:9" ht="11.25" customHeight="1">
      <c r="A357" t="s">
        <v>2160</v>
      </c>
      <c r="B357" t="s">
        <v>14</v>
      </c>
      <c r="C357" t="s">
        <v>2865</v>
      </c>
      <c r="D357" t="s">
        <v>2866</v>
      </c>
      <c r="E357" t="s">
        <v>2867</v>
      </c>
      <c r="F357" t="s">
        <v>2196</v>
      </c>
      <c r="G357" t="s">
        <v>18</v>
      </c>
      <c r="H357" t="s">
        <v>18</v>
      </c>
      <c r="I357" t="s">
        <v>994</v>
      </c>
    </row>
    <row r="358" spans="1:9" ht="11.25" customHeight="1">
      <c r="A358" t="s">
        <v>2160</v>
      </c>
      <c r="B358" t="s">
        <v>14</v>
      </c>
      <c r="C358" t="s">
        <v>2673</v>
      </c>
      <c r="D358" t="s">
        <v>2674</v>
      </c>
      <c r="E358" t="s">
        <v>2675</v>
      </c>
      <c r="F358" t="s">
        <v>2266</v>
      </c>
      <c r="G358" t="s">
        <v>2676</v>
      </c>
      <c r="H358" t="s">
        <v>18</v>
      </c>
      <c r="I358" t="s">
        <v>994</v>
      </c>
    </row>
    <row r="359" spans="1:9" ht="11.25" customHeight="1">
      <c r="A359" t="s">
        <v>2160</v>
      </c>
      <c r="B359" t="s">
        <v>14</v>
      </c>
      <c r="C359" t="s">
        <v>2677</v>
      </c>
      <c r="D359" t="s">
        <v>2678</v>
      </c>
      <c r="E359" t="s">
        <v>2679</v>
      </c>
      <c r="F359" t="s">
        <v>2266</v>
      </c>
      <c r="G359" t="s">
        <v>18</v>
      </c>
      <c r="H359" t="s">
        <v>18</v>
      </c>
      <c r="I359" t="s">
        <v>994</v>
      </c>
    </row>
    <row r="360" spans="1:9" ht="11.25" customHeight="1">
      <c r="A360" t="s">
        <v>2160</v>
      </c>
      <c r="B360" t="s">
        <v>14</v>
      </c>
      <c r="C360" t="s">
        <v>2680</v>
      </c>
      <c r="D360" t="s">
        <v>2681</v>
      </c>
      <c r="E360" t="s">
        <v>2538</v>
      </c>
      <c r="F360" t="s">
        <v>2682</v>
      </c>
      <c r="G360" t="s">
        <v>18</v>
      </c>
      <c r="H360" t="s">
        <v>18</v>
      </c>
      <c r="I360" t="s">
        <v>994</v>
      </c>
    </row>
    <row r="361" spans="1:9" ht="11.25" customHeight="1">
      <c r="A361" t="s">
        <v>2160</v>
      </c>
      <c r="B361" t="s">
        <v>14</v>
      </c>
      <c r="C361" t="s">
        <v>2683</v>
      </c>
      <c r="D361" t="s">
        <v>2684</v>
      </c>
      <c r="E361" t="s">
        <v>2685</v>
      </c>
      <c r="F361" t="s">
        <v>2266</v>
      </c>
      <c r="G361" t="s">
        <v>18</v>
      </c>
      <c r="H361" t="s">
        <v>18</v>
      </c>
      <c r="I361" t="s">
        <v>994</v>
      </c>
    </row>
    <row r="362" spans="1:9" ht="11.25" customHeight="1">
      <c r="A362" t="s">
        <v>2160</v>
      </c>
      <c r="B362" t="s">
        <v>14</v>
      </c>
      <c r="C362" t="s">
        <v>2686</v>
      </c>
      <c r="D362" t="s">
        <v>2687</v>
      </c>
      <c r="E362" t="s">
        <v>2688</v>
      </c>
      <c r="F362" t="s">
        <v>2242</v>
      </c>
      <c r="G362" t="s">
        <v>18</v>
      </c>
      <c r="H362" t="s">
        <v>18</v>
      </c>
      <c r="I362" t="s">
        <v>994</v>
      </c>
    </row>
    <row r="363" spans="1:9" ht="11.25" customHeight="1">
      <c r="A363" t="s">
        <v>2160</v>
      </c>
      <c r="B363" t="s">
        <v>14</v>
      </c>
      <c r="C363" t="s">
        <v>2868</v>
      </c>
      <c r="D363" t="s">
        <v>2869</v>
      </c>
      <c r="E363" t="s">
        <v>2870</v>
      </c>
      <c r="F363" t="s">
        <v>2176</v>
      </c>
      <c r="G363" t="s">
        <v>18</v>
      </c>
      <c r="H363" t="s">
        <v>18</v>
      </c>
      <c r="I363" t="s">
        <v>994</v>
      </c>
    </row>
    <row r="364" spans="1:9" ht="11.25" customHeight="1">
      <c r="A364" t="s">
        <v>2160</v>
      </c>
      <c r="B364" t="s">
        <v>14</v>
      </c>
      <c r="C364" t="s">
        <v>2871</v>
      </c>
      <c r="D364" t="s">
        <v>2872</v>
      </c>
      <c r="E364" t="s">
        <v>2873</v>
      </c>
      <c r="F364" t="s">
        <v>2230</v>
      </c>
      <c r="G364" t="s">
        <v>18</v>
      </c>
      <c r="H364" t="s">
        <v>18</v>
      </c>
      <c r="I364" t="s">
        <v>994</v>
      </c>
    </row>
    <row r="365" spans="1:9" ht="11.25" customHeight="1">
      <c r="A365" t="s">
        <v>2160</v>
      </c>
      <c r="B365" t="s">
        <v>14</v>
      </c>
      <c r="C365" t="s">
        <v>2689</v>
      </c>
      <c r="D365" t="s">
        <v>2690</v>
      </c>
      <c r="E365" t="s">
        <v>2691</v>
      </c>
      <c r="F365" t="s">
        <v>2230</v>
      </c>
      <c r="G365" t="s">
        <v>2692</v>
      </c>
      <c r="H365" t="s">
        <v>18</v>
      </c>
      <c r="I365" t="s">
        <v>994</v>
      </c>
    </row>
    <row r="366" spans="1:9" ht="11.25" customHeight="1">
      <c r="A366" t="s">
        <v>2160</v>
      </c>
      <c r="B366" t="s">
        <v>14</v>
      </c>
      <c r="C366" t="s">
        <v>2874</v>
      </c>
      <c r="D366" t="s">
        <v>2875</v>
      </c>
      <c r="E366" t="s">
        <v>2876</v>
      </c>
      <c r="F366" t="s">
        <v>2877</v>
      </c>
      <c r="G366" t="s">
        <v>18</v>
      </c>
      <c r="H366" t="s">
        <v>18</v>
      </c>
      <c r="I366" t="s">
        <v>994</v>
      </c>
    </row>
    <row r="367" spans="1:9" ht="11.25" customHeight="1">
      <c r="A367" t="s">
        <v>2160</v>
      </c>
      <c r="B367" t="s">
        <v>14</v>
      </c>
      <c r="C367" t="s">
        <v>2878</v>
      </c>
      <c r="D367" t="s">
        <v>2879</v>
      </c>
      <c r="E367" t="s">
        <v>2880</v>
      </c>
      <c r="F367" t="s">
        <v>2230</v>
      </c>
      <c r="G367" t="s">
        <v>18</v>
      </c>
      <c r="H367" t="s">
        <v>18</v>
      </c>
      <c r="I367" t="s">
        <v>994</v>
      </c>
    </row>
    <row r="368" spans="1:9" ht="11.25" customHeight="1">
      <c r="A368" t="s">
        <v>2160</v>
      </c>
      <c r="B368" t="s">
        <v>14</v>
      </c>
      <c r="C368" t="s">
        <v>2881</v>
      </c>
      <c r="D368" t="s">
        <v>2882</v>
      </c>
      <c r="E368" t="s">
        <v>2883</v>
      </c>
      <c r="F368" t="s">
        <v>2218</v>
      </c>
      <c r="G368" t="s">
        <v>18</v>
      </c>
      <c r="H368" t="s">
        <v>18</v>
      </c>
      <c r="I368" t="s">
        <v>994</v>
      </c>
    </row>
    <row r="369" spans="1:9" ht="11.25" customHeight="1">
      <c r="A369" t="s">
        <v>2160</v>
      </c>
      <c r="B369" t="s">
        <v>14</v>
      </c>
      <c r="C369" t="s">
        <v>2702</v>
      </c>
      <c r="D369" t="s">
        <v>2703</v>
      </c>
      <c r="E369" t="s">
        <v>2704</v>
      </c>
      <c r="F369" t="s">
        <v>2266</v>
      </c>
      <c r="G369" t="s">
        <v>18</v>
      </c>
      <c r="H369" t="s">
        <v>18</v>
      </c>
      <c r="I369" t="s">
        <v>994</v>
      </c>
    </row>
    <row r="370" spans="1:9" ht="11.25" customHeight="1">
      <c r="A370" t="s">
        <v>2160</v>
      </c>
      <c r="B370" t="s">
        <v>14</v>
      </c>
      <c r="C370" t="s">
        <v>2712</v>
      </c>
      <c r="D370" t="s">
        <v>2713</v>
      </c>
      <c r="E370" t="s">
        <v>2714</v>
      </c>
      <c r="F370" t="s">
        <v>2230</v>
      </c>
      <c r="G370" t="s">
        <v>18</v>
      </c>
      <c r="H370" t="s">
        <v>18</v>
      </c>
      <c r="I370" t="s">
        <v>994</v>
      </c>
    </row>
    <row r="371" spans="1:9" ht="11.25" customHeight="1">
      <c r="A371" t="s">
        <v>2160</v>
      </c>
      <c r="B371" t="s">
        <v>14</v>
      </c>
      <c r="C371" t="s">
        <v>2715</v>
      </c>
      <c r="D371" t="s">
        <v>2716</v>
      </c>
      <c r="E371" t="s">
        <v>2717</v>
      </c>
      <c r="F371" t="s">
        <v>2718</v>
      </c>
      <c r="G371" t="s">
        <v>18</v>
      </c>
      <c r="H371" t="s">
        <v>18</v>
      </c>
      <c r="I371" t="s">
        <v>994</v>
      </c>
    </row>
    <row r="372" spans="1:9" ht="11.25" customHeight="1">
      <c r="A372" t="s">
        <v>2160</v>
      </c>
      <c r="B372" t="s">
        <v>14</v>
      </c>
      <c r="C372" t="s">
        <v>2884</v>
      </c>
      <c r="D372" t="s">
        <v>2885</v>
      </c>
      <c r="E372" t="s">
        <v>2886</v>
      </c>
      <c r="F372" t="s">
        <v>2196</v>
      </c>
      <c r="G372" t="s">
        <v>2887</v>
      </c>
      <c r="H372" t="s">
        <v>18</v>
      </c>
      <c r="I372" t="s">
        <v>994</v>
      </c>
    </row>
    <row r="373" spans="1:9" ht="11.25" customHeight="1">
      <c r="A373" t="s">
        <v>2160</v>
      </c>
      <c r="B373" t="s">
        <v>14</v>
      </c>
      <c r="C373" t="s">
        <v>2888</v>
      </c>
      <c r="D373" t="s">
        <v>2889</v>
      </c>
      <c r="E373" t="s">
        <v>2890</v>
      </c>
      <c r="F373" t="s">
        <v>2196</v>
      </c>
      <c r="G373" t="s">
        <v>18</v>
      </c>
      <c r="H373" t="s">
        <v>18</v>
      </c>
      <c r="I373" t="s">
        <v>994</v>
      </c>
    </row>
    <row r="374" spans="1:9" ht="11.25" customHeight="1">
      <c r="A374" t="s">
        <v>2160</v>
      </c>
      <c r="B374" t="s">
        <v>14</v>
      </c>
      <c r="C374" t="s">
        <v>2719</v>
      </c>
      <c r="D374" t="s">
        <v>2720</v>
      </c>
      <c r="E374" t="s">
        <v>2721</v>
      </c>
      <c r="F374" t="s">
        <v>2196</v>
      </c>
      <c r="G374" t="s">
        <v>18</v>
      </c>
      <c r="H374" t="s">
        <v>18</v>
      </c>
      <c r="I374" t="s">
        <v>994</v>
      </c>
    </row>
    <row r="375" spans="1:9" ht="11.25" customHeight="1">
      <c r="A375" t="s">
        <v>2160</v>
      </c>
      <c r="B375" t="s">
        <v>14</v>
      </c>
      <c r="C375" t="s">
        <v>2891</v>
      </c>
      <c r="D375" t="s">
        <v>2892</v>
      </c>
      <c r="E375" t="s">
        <v>2743</v>
      </c>
      <c r="F375" t="s">
        <v>2317</v>
      </c>
      <c r="G375" t="s">
        <v>18</v>
      </c>
      <c r="H375" t="s">
        <v>18</v>
      </c>
      <c r="I375" t="s">
        <v>994</v>
      </c>
    </row>
    <row r="376" spans="1:9" ht="11.25" customHeight="1">
      <c r="A376" t="s">
        <v>2160</v>
      </c>
      <c r="B376" t="s">
        <v>14</v>
      </c>
      <c r="C376" t="s">
        <v>2893</v>
      </c>
      <c r="D376" t="s">
        <v>2894</v>
      </c>
      <c r="E376" t="s">
        <v>2793</v>
      </c>
      <c r="F376" t="s">
        <v>2895</v>
      </c>
      <c r="G376" t="s">
        <v>2896</v>
      </c>
      <c r="H376" t="s">
        <v>18</v>
      </c>
      <c r="I376" t="s">
        <v>994</v>
      </c>
    </row>
    <row r="377" spans="1:9" ht="11.25" customHeight="1">
      <c r="A377" t="s">
        <v>2160</v>
      </c>
      <c r="B377" t="s">
        <v>14</v>
      </c>
      <c r="C377" t="s">
        <v>2725</v>
      </c>
      <c r="D377" t="s">
        <v>2726</v>
      </c>
      <c r="E377" t="s">
        <v>2727</v>
      </c>
      <c r="F377" t="s">
        <v>2223</v>
      </c>
      <c r="G377" t="s">
        <v>2728</v>
      </c>
      <c r="H377" t="s">
        <v>18</v>
      </c>
      <c r="I377" t="s">
        <v>994</v>
      </c>
    </row>
    <row r="378" spans="1:9" ht="11.25" customHeight="1">
      <c r="A378" t="s">
        <v>2160</v>
      </c>
      <c r="B378" t="s">
        <v>14</v>
      </c>
      <c r="C378" t="s">
        <v>2737</v>
      </c>
      <c r="D378" t="s">
        <v>2738</v>
      </c>
      <c r="E378" t="s">
        <v>2739</v>
      </c>
      <c r="F378" t="s">
        <v>2414</v>
      </c>
      <c r="G378" t="s">
        <v>2740</v>
      </c>
      <c r="H378" t="s">
        <v>18</v>
      </c>
      <c r="I378" t="s">
        <v>994</v>
      </c>
    </row>
    <row r="379" spans="1:9" ht="11.25" customHeight="1">
      <c r="A379" t="s">
        <v>2160</v>
      </c>
      <c r="B379" t="s">
        <v>14</v>
      </c>
      <c r="C379" t="s">
        <v>2741</v>
      </c>
      <c r="D379" t="s">
        <v>2742</v>
      </c>
      <c r="E379" t="s">
        <v>2743</v>
      </c>
      <c r="F379" t="s">
        <v>2356</v>
      </c>
      <c r="G379" t="s">
        <v>18</v>
      </c>
      <c r="H379" t="s">
        <v>18</v>
      </c>
      <c r="I379" t="s">
        <v>994</v>
      </c>
    </row>
    <row r="380" spans="1:9" ht="11.25" customHeight="1">
      <c r="A380" t="s">
        <v>2160</v>
      </c>
      <c r="B380" t="s">
        <v>14</v>
      </c>
      <c r="C380" t="s">
        <v>2897</v>
      </c>
      <c r="D380" t="s">
        <v>2898</v>
      </c>
      <c r="E380" t="s">
        <v>2899</v>
      </c>
      <c r="F380" t="s">
        <v>2364</v>
      </c>
      <c r="G380" t="s">
        <v>18</v>
      </c>
      <c r="H380" t="s">
        <v>18</v>
      </c>
      <c r="I380" t="s">
        <v>994</v>
      </c>
    </row>
    <row r="381" spans="1:9" ht="11.25" customHeight="1">
      <c r="A381" t="s">
        <v>2160</v>
      </c>
      <c r="B381" t="s">
        <v>14</v>
      </c>
      <c r="C381" t="s">
        <v>2748</v>
      </c>
      <c r="D381" t="s">
        <v>2749</v>
      </c>
      <c r="E381" t="s">
        <v>2750</v>
      </c>
      <c r="F381" t="s">
        <v>2196</v>
      </c>
      <c r="G381" t="s">
        <v>18</v>
      </c>
      <c r="H381" t="s">
        <v>18</v>
      </c>
      <c r="I381" t="s">
        <v>994</v>
      </c>
    </row>
    <row r="382" spans="1:9" ht="11.25" customHeight="1">
      <c r="A382" t="s">
        <v>2160</v>
      </c>
      <c r="B382" t="s">
        <v>14</v>
      </c>
      <c r="C382" t="s">
        <v>2754</v>
      </c>
      <c r="D382" t="s">
        <v>2755</v>
      </c>
      <c r="E382" t="s">
        <v>2756</v>
      </c>
      <c r="F382" t="s">
        <v>2168</v>
      </c>
      <c r="G382" t="s">
        <v>18</v>
      </c>
      <c r="H382" t="s">
        <v>18</v>
      </c>
      <c r="I382" t="s">
        <v>994</v>
      </c>
    </row>
    <row r="383" spans="1:9" ht="11.25" customHeight="1">
      <c r="A383" t="s">
        <v>2160</v>
      </c>
      <c r="B383" t="s">
        <v>14</v>
      </c>
      <c r="C383" t="s">
        <v>2900</v>
      </c>
      <c r="D383" t="s">
        <v>2901</v>
      </c>
      <c r="E383" t="s">
        <v>2171</v>
      </c>
      <c r="F383" t="s">
        <v>2902</v>
      </c>
      <c r="G383" t="s">
        <v>18</v>
      </c>
      <c r="H383" t="s">
        <v>18</v>
      </c>
      <c r="I383" t="s">
        <v>994</v>
      </c>
    </row>
    <row r="384" spans="1:9" ht="11.25" customHeight="1">
      <c r="A384" t="s">
        <v>2160</v>
      </c>
      <c r="B384" t="s">
        <v>14</v>
      </c>
      <c r="C384" t="s">
        <v>2903</v>
      </c>
      <c r="D384" t="s">
        <v>2904</v>
      </c>
      <c r="E384" t="s">
        <v>2905</v>
      </c>
      <c r="F384" t="s">
        <v>2196</v>
      </c>
      <c r="G384" t="s">
        <v>18</v>
      </c>
      <c r="H384" t="s">
        <v>18</v>
      </c>
      <c r="I384" t="s">
        <v>994</v>
      </c>
    </row>
    <row r="385" spans="1:9" ht="11.25" customHeight="1">
      <c r="A385" t="s">
        <v>2160</v>
      </c>
      <c r="B385" t="s">
        <v>14</v>
      </c>
      <c r="C385" t="s">
        <v>2760</v>
      </c>
      <c r="D385" t="s">
        <v>2761</v>
      </c>
      <c r="E385" t="s">
        <v>2762</v>
      </c>
      <c r="F385" t="s">
        <v>2196</v>
      </c>
      <c r="G385" t="s">
        <v>18</v>
      </c>
      <c r="H385" t="s">
        <v>18</v>
      </c>
      <c r="I385" t="s">
        <v>994</v>
      </c>
    </row>
    <row r="386" spans="1:9" ht="11.25" customHeight="1">
      <c r="A386" t="s">
        <v>2160</v>
      </c>
      <c r="B386" t="s">
        <v>14</v>
      </c>
      <c r="C386" t="s">
        <v>2906</v>
      </c>
      <c r="D386" t="s">
        <v>2907</v>
      </c>
      <c r="E386" t="s">
        <v>2908</v>
      </c>
      <c r="F386" t="s">
        <v>2356</v>
      </c>
      <c r="G386" t="s">
        <v>18</v>
      </c>
      <c r="H386" t="s">
        <v>18</v>
      </c>
      <c r="I386" t="s">
        <v>994</v>
      </c>
    </row>
    <row r="387" spans="1:9" ht="11.25" customHeight="1">
      <c r="A387" t="s">
        <v>2160</v>
      </c>
      <c r="B387" t="s">
        <v>14</v>
      </c>
      <c r="C387" t="s">
        <v>2766</v>
      </c>
      <c r="D387" t="s">
        <v>2767</v>
      </c>
      <c r="E387" t="s">
        <v>2505</v>
      </c>
      <c r="F387" t="s">
        <v>2768</v>
      </c>
      <c r="G387" t="s">
        <v>18</v>
      </c>
      <c r="H387" t="s">
        <v>18</v>
      </c>
      <c r="I387" t="s">
        <v>994</v>
      </c>
    </row>
    <row r="388" spans="1:9" ht="11.25" customHeight="1">
      <c r="A388" t="s">
        <v>2160</v>
      </c>
      <c r="B388" t="s">
        <v>14</v>
      </c>
      <c r="C388" t="s">
        <v>2769</v>
      </c>
      <c r="D388" t="s">
        <v>2770</v>
      </c>
      <c r="E388" t="s">
        <v>2421</v>
      </c>
      <c r="F388" t="s">
        <v>2533</v>
      </c>
      <c r="G388" t="s">
        <v>18</v>
      </c>
      <c r="H388" t="s">
        <v>18</v>
      </c>
      <c r="I388" t="s">
        <v>994</v>
      </c>
    </row>
    <row r="389" spans="1:9" ht="11.25" customHeight="1">
      <c r="A389" t="s">
        <v>2160</v>
      </c>
      <c r="B389" t="s">
        <v>14</v>
      </c>
      <c r="C389" t="s">
        <v>2771</v>
      </c>
      <c r="D389" t="s">
        <v>2772</v>
      </c>
      <c r="E389" t="s">
        <v>2739</v>
      </c>
      <c r="F389" t="s">
        <v>2773</v>
      </c>
      <c r="G389" t="s">
        <v>18</v>
      </c>
      <c r="H389" t="s">
        <v>2774</v>
      </c>
      <c r="I389" t="s">
        <v>994</v>
      </c>
    </row>
    <row r="390" spans="1:9" ht="11.25" customHeight="1">
      <c r="A390" t="s">
        <v>2160</v>
      </c>
      <c r="B390" t="s">
        <v>14</v>
      </c>
      <c r="C390" t="s">
        <v>2775</v>
      </c>
      <c r="D390" t="s">
        <v>2776</v>
      </c>
      <c r="E390" t="s">
        <v>2226</v>
      </c>
      <c r="F390" t="s">
        <v>2777</v>
      </c>
      <c r="G390" t="s">
        <v>18</v>
      </c>
      <c r="H390" t="s">
        <v>18</v>
      </c>
      <c r="I390" t="s">
        <v>994</v>
      </c>
    </row>
    <row r="391" spans="1:9" ht="11.25" customHeight="1">
      <c r="A391" t="s">
        <v>2160</v>
      </c>
      <c r="B391" t="s">
        <v>14</v>
      </c>
      <c r="C391" t="s">
        <v>2778</v>
      </c>
      <c r="D391" t="s">
        <v>2779</v>
      </c>
      <c r="E391" t="s">
        <v>2226</v>
      </c>
      <c r="F391" t="s">
        <v>2780</v>
      </c>
      <c r="G391" t="s">
        <v>18</v>
      </c>
      <c r="H391" t="s">
        <v>18</v>
      </c>
      <c r="I391" t="s">
        <v>994</v>
      </c>
    </row>
    <row r="392" spans="1:9" ht="11.25" customHeight="1">
      <c r="A392" t="s">
        <v>2160</v>
      </c>
      <c r="B392" t="s">
        <v>14</v>
      </c>
      <c r="C392" t="s">
        <v>2781</v>
      </c>
      <c r="D392" t="s">
        <v>2782</v>
      </c>
      <c r="E392" t="s">
        <v>2226</v>
      </c>
      <c r="F392" t="s">
        <v>2783</v>
      </c>
      <c r="G392" t="s">
        <v>18</v>
      </c>
      <c r="H392" t="s">
        <v>18</v>
      </c>
      <c r="I392" t="s">
        <v>994</v>
      </c>
    </row>
    <row r="393" spans="1:9" ht="11.25" customHeight="1">
      <c r="A393" t="s">
        <v>2160</v>
      </c>
      <c r="B393" t="s">
        <v>14</v>
      </c>
      <c r="C393" t="s">
        <v>2784</v>
      </c>
      <c r="D393" t="s">
        <v>2785</v>
      </c>
      <c r="E393" t="s">
        <v>50</v>
      </c>
      <c r="F393" t="s">
        <v>2786</v>
      </c>
      <c r="G393" t="s">
        <v>18</v>
      </c>
      <c r="H393" t="s">
        <v>18</v>
      </c>
      <c r="I393" t="s">
        <v>994</v>
      </c>
    </row>
    <row r="394" spans="1:9" ht="11.25" customHeight="1">
      <c r="A394" t="s">
        <v>2160</v>
      </c>
      <c r="B394" t="s">
        <v>14</v>
      </c>
      <c r="C394" t="s">
        <v>2787</v>
      </c>
      <c r="D394" t="s">
        <v>2788</v>
      </c>
      <c r="E394" t="s">
        <v>50</v>
      </c>
      <c r="F394" t="s">
        <v>2789</v>
      </c>
      <c r="G394" t="s">
        <v>2790</v>
      </c>
      <c r="H394" t="s">
        <v>18</v>
      </c>
      <c r="I394" t="s">
        <v>994</v>
      </c>
    </row>
    <row r="395" spans="1:9" ht="11.25" customHeight="1">
      <c r="A395" t="s">
        <v>2160</v>
      </c>
      <c r="B395" t="s">
        <v>14</v>
      </c>
      <c r="C395" t="s">
        <v>2791</v>
      </c>
      <c r="D395" t="s">
        <v>2792</v>
      </c>
      <c r="E395" t="s">
        <v>2793</v>
      </c>
      <c r="F395" t="s">
        <v>2632</v>
      </c>
      <c r="G395" t="s">
        <v>18</v>
      </c>
      <c r="H395" t="s">
        <v>18</v>
      </c>
      <c r="I395" t="s">
        <v>994</v>
      </c>
    </row>
    <row r="396" spans="1:9" ht="11.25" customHeight="1">
      <c r="A396" t="s">
        <v>2160</v>
      </c>
      <c r="B396" t="s">
        <v>14</v>
      </c>
      <c r="C396" t="s">
        <v>2794</v>
      </c>
      <c r="D396" t="s">
        <v>2795</v>
      </c>
      <c r="E396" t="s">
        <v>2796</v>
      </c>
      <c r="F396" t="s">
        <v>2230</v>
      </c>
      <c r="G396" t="s">
        <v>18</v>
      </c>
      <c r="H396" t="s">
        <v>18</v>
      </c>
      <c r="I396" t="s">
        <v>994</v>
      </c>
    </row>
    <row r="397" spans="1:9" ht="11.25" customHeight="1">
      <c r="A397" t="s">
        <v>2160</v>
      </c>
      <c r="B397" t="s">
        <v>14</v>
      </c>
      <c r="C397" t="s">
        <v>2797</v>
      </c>
      <c r="D397" t="s">
        <v>2798</v>
      </c>
      <c r="E397" t="s">
        <v>2799</v>
      </c>
      <c r="F397" t="s">
        <v>2385</v>
      </c>
      <c r="G397" t="s">
        <v>18</v>
      </c>
      <c r="H397" t="s">
        <v>18</v>
      </c>
      <c r="I397" t="s">
        <v>994</v>
      </c>
    </row>
    <row r="398" spans="1:9" ht="11.25" customHeight="1">
      <c r="A398" t="s">
        <v>2160</v>
      </c>
      <c r="B398" t="s">
        <v>14</v>
      </c>
      <c r="C398" t="s">
        <v>2803</v>
      </c>
      <c r="D398" t="s">
        <v>2804</v>
      </c>
      <c r="E398" t="s">
        <v>2736</v>
      </c>
      <c r="F398" t="s">
        <v>2632</v>
      </c>
      <c r="G398" t="s">
        <v>2805</v>
      </c>
      <c r="H398" t="s">
        <v>18</v>
      </c>
      <c r="I398" t="s">
        <v>994</v>
      </c>
    </row>
    <row r="399" spans="1:9" ht="11.25" customHeight="1">
      <c r="A399" t="s">
        <v>2160</v>
      </c>
      <c r="B399" t="s">
        <v>14</v>
      </c>
      <c r="C399" t="s">
        <v>2165</v>
      </c>
      <c r="D399" t="s">
        <v>2166</v>
      </c>
      <c r="E399" t="s">
        <v>2167</v>
      </c>
      <c r="F399" t="s">
        <v>2168</v>
      </c>
      <c r="G399" t="s">
        <v>18</v>
      </c>
      <c r="H399" t="s">
        <v>18</v>
      </c>
      <c r="I399" t="s">
        <v>608</v>
      </c>
    </row>
    <row r="400" spans="1:9" ht="11.25" customHeight="1">
      <c r="A400" t="s">
        <v>2160</v>
      </c>
      <c r="B400" t="s">
        <v>14</v>
      </c>
      <c r="C400" t="s">
        <v>2169</v>
      </c>
      <c r="D400" t="s">
        <v>2170</v>
      </c>
      <c r="E400" t="s">
        <v>2171</v>
      </c>
      <c r="F400" t="s">
        <v>2172</v>
      </c>
      <c r="G400" t="s">
        <v>18</v>
      </c>
      <c r="H400" t="s">
        <v>18</v>
      </c>
      <c r="I400" t="s">
        <v>608</v>
      </c>
    </row>
    <row r="401" spans="1:9" ht="11.25" customHeight="1">
      <c r="A401" t="s">
        <v>2160</v>
      </c>
      <c r="B401" t="s">
        <v>14</v>
      </c>
      <c r="C401" t="s">
        <v>2184</v>
      </c>
      <c r="D401" t="s">
        <v>2185</v>
      </c>
      <c r="E401" t="s">
        <v>2186</v>
      </c>
      <c r="F401" t="s">
        <v>2187</v>
      </c>
      <c r="G401" t="s">
        <v>2188</v>
      </c>
      <c r="H401" t="s">
        <v>18</v>
      </c>
      <c r="I401" t="s">
        <v>608</v>
      </c>
    </row>
    <row r="402" spans="1:9" ht="11.25" customHeight="1">
      <c r="A402" t="s">
        <v>2160</v>
      </c>
      <c r="B402" t="s">
        <v>14</v>
      </c>
      <c r="C402" t="s">
        <v>2193</v>
      </c>
      <c r="D402" t="s">
        <v>2194</v>
      </c>
      <c r="E402" t="s">
        <v>2195</v>
      </c>
      <c r="F402" t="s">
        <v>2196</v>
      </c>
      <c r="G402" t="s">
        <v>2197</v>
      </c>
      <c r="H402" t="s">
        <v>18</v>
      </c>
      <c r="I402" t="s">
        <v>608</v>
      </c>
    </row>
    <row r="403" spans="1:9" ht="11.25" customHeight="1">
      <c r="A403" t="s">
        <v>2160</v>
      </c>
      <c r="B403" t="s">
        <v>14</v>
      </c>
      <c r="C403" t="s">
        <v>2809</v>
      </c>
      <c r="D403" t="s">
        <v>2810</v>
      </c>
      <c r="E403" t="s">
        <v>2811</v>
      </c>
      <c r="F403" t="s">
        <v>2238</v>
      </c>
      <c r="G403" t="s">
        <v>2812</v>
      </c>
      <c r="H403" t="s">
        <v>18</v>
      </c>
      <c r="I403" t="s">
        <v>608</v>
      </c>
    </row>
    <row r="404" spans="1:9" ht="11.25" customHeight="1">
      <c r="A404" t="s">
        <v>2160</v>
      </c>
      <c r="B404" t="s">
        <v>14</v>
      </c>
      <c r="C404" t="s">
        <v>2813</v>
      </c>
      <c r="D404" t="s">
        <v>2199</v>
      </c>
      <c r="E404" t="s">
        <v>2200</v>
      </c>
      <c r="F404" t="s">
        <v>2814</v>
      </c>
      <c r="G404" t="s">
        <v>2815</v>
      </c>
      <c r="H404" t="s">
        <v>18</v>
      </c>
      <c r="I404" t="s">
        <v>608</v>
      </c>
    </row>
    <row r="405" spans="1:9" ht="11.25" customHeight="1">
      <c r="A405" t="s">
        <v>2160</v>
      </c>
      <c r="B405" t="s">
        <v>14</v>
      </c>
      <c r="C405" t="s">
        <v>2198</v>
      </c>
      <c r="D405" t="s">
        <v>2199</v>
      </c>
      <c r="E405" t="s">
        <v>2200</v>
      </c>
      <c r="F405" t="s">
        <v>2201</v>
      </c>
      <c r="G405" t="s">
        <v>18</v>
      </c>
      <c r="H405" t="s">
        <v>18</v>
      </c>
      <c r="I405" t="s">
        <v>608</v>
      </c>
    </row>
    <row r="406" spans="1:9" ht="11.25" customHeight="1">
      <c r="A406" t="s">
        <v>2160</v>
      </c>
      <c r="B406" t="s">
        <v>14</v>
      </c>
      <c r="C406" t="s">
        <v>2202</v>
      </c>
      <c r="D406" t="s">
        <v>2203</v>
      </c>
      <c r="E406" t="s">
        <v>2204</v>
      </c>
      <c r="F406" t="s">
        <v>2176</v>
      </c>
      <c r="G406" t="s">
        <v>2205</v>
      </c>
      <c r="H406" t="s">
        <v>18</v>
      </c>
      <c r="I406" t="s">
        <v>608</v>
      </c>
    </row>
    <row r="407" spans="1:9" ht="11.25" customHeight="1">
      <c r="A407" t="s">
        <v>2160</v>
      </c>
      <c r="B407" t="s">
        <v>14</v>
      </c>
      <c r="C407" t="s">
        <v>2215</v>
      </c>
      <c r="D407" t="s">
        <v>2216</v>
      </c>
      <c r="E407" t="s">
        <v>2217</v>
      </c>
      <c r="F407" t="s">
        <v>2218</v>
      </c>
      <c r="G407" t="s">
        <v>2219</v>
      </c>
      <c r="H407" t="s">
        <v>18</v>
      </c>
      <c r="I407" t="s">
        <v>608</v>
      </c>
    </row>
    <row r="408" spans="1:9" ht="11.25" customHeight="1">
      <c r="A408" t="s">
        <v>2160</v>
      </c>
      <c r="B408" t="s">
        <v>14</v>
      </c>
      <c r="C408" t="s">
        <v>2224</v>
      </c>
      <c r="D408" t="s">
        <v>2225</v>
      </c>
      <c r="E408" t="s">
        <v>2226</v>
      </c>
      <c r="F408" t="s">
        <v>2214</v>
      </c>
      <c r="G408" t="s">
        <v>18</v>
      </c>
      <c r="H408" t="s">
        <v>18</v>
      </c>
      <c r="I408" t="s">
        <v>608</v>
      </c>
    </row>
    <row r="409" spans="1:9" ht="11.25" customHeight="1">
      <c r="A409" t="s">
        <v>2160</v>
      </c>
      <c r="B409" t="s">
        <v>14</v>
      </c>
      <c r="C409" t="s">
        <v>2820</v>
      </c>
      <c r="D409" t="s">
        <v>2821</v>
      </c>
      <c r="E409" t="s">
        <v>2822</v>
      </c>
      <c r="F409" t="s">
        <v>2251</v>
      </c>
      <c r="G409" t="s">
        <v>18</v>
      </c>
      <c r="H409" t="s">
        <v>18</v>
      </c>
      <c r="I409" t="s">
        <v>608</v>
      </c>
    </row>
    <row r="410" spans="1:9" ht="11.25" customHeight="1">
      <c r="A410" t="s">
        <v>2160</v>
      </c>
      <c r="B410" t="s">
        <v>14</v>
      </c>
      <c r="C410" t="s">
        <v>2252</v>
      </c>
      <c r="D410" t="s">
        <v>2253</v>
      </c>
      <c r="E410" t="s">
        <v>2254</v>
      </c>
      <c r="F410" t="s">
        <v>2192</v>
      </c>
      <c r="G410" t="s">
        <v>2255</v>
      </c>
      <c r="H410" t="s">
        <v>18</v>
      </c>
      <c r="I410" t="s">
        <v>608</v>
      </c>
    </row>
    <row r="411" spans="1:9" ht="11.25" customHeight="1">
      <c r="A411" t="s">
        <v>2160</v>
      </c>
      <c r="B411" t="s">
        <v>14</v>
      </c>
      <c r="C411" t="s">
        <v>2260</v>
      </c>
      <c r="D411" t="s">
        <v>2261</v>
      </c>
      <c r="E411" t="s">
        <v>2262</v>
      </c>
      <c r="F411" t="s">
        <v>2246</v>
      </c>
      <c r="G411" t="s">
        <v>18</v>
      </c>
      <c r="H411" t="s">
        <v>18</v>
      </c>
      <c r="I411" t="s">
        <v>608</v>
      </c>
    </row>
    <row r="412" spans="1:9" ht="11.25" customHeight="1">
      <c r="A412" t="s">
        <v>2160</v>
      </c>
      <c r="B412" t="s">
        <v>14</v>
      </c>
      <c r="C412" t="s">
        <v>2909</v>
      </c>
      <c r="D412" t="s">
        <v>2910</v>
      </c>
      <c r="E412" t="s">
        <v>2911</v>
      </c>
      <c r="F412" t="s">
        <v>2196</v>
      </c>
      <c r="G412" t="s">
        <v>18</v>
      </c>
      <c r="H412" t="s">
        <v>18</v>
      </c>
      <c r="I412" t="s">
        <v>608</v>
      </c>
    </row>
    <row r="413" spans="1:9" ht="11.25" customHeight="1">
      <c r="A413" t="s">
        <v>2160</v>
      </c>
      <c r="B413" t="s">
        <v>14</v>
      </c>
      <c r="C413" t="s">
        <v>2280</v>
      </c>
      <c r="D413" t="s">
        <v>2281</v>
      </c>
      <c r="E413" t="s">
        <v>2282</v>
      </c>
      <c r="F413" t="s">
        <v>2283</v>
      </c>
      <c r="G413" t="s">
        <v>18</v>
      </c>
      <c r="H413" t="s">
        <v>18</v>
      </c>
      <c r="I413" t="s">
        <v>608</v>
      </c>
    </row>
    <row r="414" spans="1:9" ht="11.25" customHeight="1">
      <c r="A414" t="s">
        <v>2160</v>
      </c>
      <c r="B414" t="s">
        <v>14</v>
      </c>
      <c r="C414" t="s">
        <v>2305</v>
      </c>
      <c r="D414" t="s">
        <v>2306</v>
      </c>
      <c r="E414" t="s">
        <v>2307</v>
      </c>
      <c r="F414" t="s">
        <v>2308</v>
      </c>
      <c r="G414" t="s">
        <v>18</v>
      </c>
      <c r="H414" t="s">
        <v>18</v>
      </c>
      <c r="I414" t="s">
        <v>608</v>
      </c>
    </row>
    <row r="415" spans="1:9" ht="11.25" customHeight="1">
      <c r="A415" t="s">
        <v>2160</v>
      </c>
      <c r="B415" t="s">
        <v>14</v>
      </c>
      <c r="C415" t="s">
        <v>2309</v>
      </c>
      <c r="D415" t="s">
        <v>2310</v>
      </c>
      <c r="E415" t="s">
        <v>2311</v>
      </c>
      <c r="F415" t="s">
        <v>2312</v>
      </c>
      <c r="G415" t="s">
        <v>2313</v>
      </c>
      <c r="H415" t="s">
        <v>18</v>
      </c>
      <c r="I415" t="s">
        <v>608</v>
      </c>
    </row>
    <row r="416" spans="1:9" ht="11.25" customHeight="1">
      <c r="A416" t="s">
        <v>2160</v>
      </c>
      <c r="B416" t="s">
        <v>14</v>
      </c>
      <c r="C416" t="s">
        <v>2318</v>
      </c>
      <c r="D416" t="s">
        <v>2319</v>
      </c>
      <c r="E416" t="s">
        <v>2320</v>
      </c>
      <c r="F416" t="s">
        <v>2312</v>
      </c>
      <c r="G416" t="s">
        <v>2321</v>
      </c>
      <c r="H416" t="s">
        <v>18</v>
      </c>
      <c r="I416" t="s">
        <v>608</v>
      </c>
    </row>
    <row r="417" spans="1:9" ht="11.25" customHeight="1">
      <c r="A417" t="s">
        <v>2160</v>
      </c>
      <c r="B417" t="s">
        <v>14</v>
      </c>
      <c r="C417" t="s">
        <v>2826</v>
      </c>
      <c r="D417" t="s">
        <v>2827</v>
      </c>
      <c r="E417" t="s">
        <v>2828</v>
      </c>
      <c r="F417" t="s">
        <v>2246</v>
      </c>
      <c r="G417" t="s">
        <v>18</v>
      </c>
      <c r="H417" t="s">
        <v>18</v>
      </c>
      <c r="I417" t="s">
        <v>608</v>
      </c>
    </row>
    <row r="418" spans="1:9" ht="11.25" customHeight="1">
      <c r="A418" t="s">
        <v>2160</v>
      </c>
      <c r="B418" t="s">
        <v>14</v>
      </c>
      <c r="C418" t="s">
        <v>2325</v>
      </c>
      <c r="D418" t="s">
        <v>2326</v>
      </c>
      <c r="E418" t="s">
        <v>2327</v>
      </c>
      <c r="F418" t="s">
        <v>2187</v>
      </c>
      <c r="G418" t="s">
        <v>18</v>
      </c>
      <c r="H418" t="s">
        <v>18</v>
      </c>
      <c r="I418" t="s">
        <v>608</v>
      </c>
    </row>
    <row r="419" spans="1:9" ht="11.25" customHeight="1">
      <c r="A419" t="s">
        <v>2160</v>
      </c>
      <c r="B419" t="s">
        <v>14</v>
      </c>
      <c r="C419" t="s">
        <v>2328</v>
      </c>
      <c r="D419" t="s">
        <v>2329</v>
      </c>
      <c r="E419" t="s">
        <v>2330</v>
      </c>
      <c r="F419" t="s">
        <v>2218</v>
      </c>
      <c r="G419" t="s">
        <v>18</v>
      </c>
      <c r="H419" t="s">
        <v>18</v>
      </c>
      <c r="I419" t="s">
        <v>608</v>
      </c>
    </row>
    <row r="420" spans="1:9" ht="11.25" customHeight="1">
      <c r="A420" t="s">
        <v>2160</v>
      </c>
      <c r="B420" t="s">
        <v>14</v>
      </c>
      <c r="C420" t="s">
        <v>2331</v>
      </c>
      <c r="D420" t="s">
        <v>2332</v>
      </c>
      <c r="E420" t="s">
        <v>2333</v>
      </c>
      <c r="F420" t="s">
        <v>2334</v>
      </c>
      <c r="G420" t="s">
        <v>2335</v>
      </c>
      <c r="H420" t="s">
        <v>18</v>
      </c>
      <c r="I420" t="s">
        <v>608</v>
      </c>
    </row>
    <row r="421" spans="1:9" ht="11.25" customHeight="1">
      <c r="A421" t="s">
        <v>2160</v>
      </c>
      <c r="B421" t="s">
        <v>14</v>
      </c>
      <c r="C421" t="s">
        <v>2336</v>
      </c>
      <c r="D421" t="s">
        <v>2337</v>
      </c>
      <c r="E421" t="s">
        <v>2338</v>
      </c>
      <c r="F421" t="s">
        <v>2334</v>
      </c>
      <c r="G421" t="s">
        <v>2339</v>
      </c>
      <c r="H421" t="s">
        <v>18</v>
      </c>
      <c r="I421" t="s">
        <v>608</v>
      </c>
    </row>
    <row r="422" spans="1:9" ht="11.25" customHeight="1">
      <c r="A422" t="s">
        <v>2160</v>
      </c>
      <c r="B422" t="s">
        <v>14</v>
      </c>
      <c r="C422" t="s">
        <v>2346</v>
      </c>
      <c r="D422" t="s">
        <v>2347</v>
      </c>
      <c r="E422" t="s">
        <v>2348</v>
      </c>
      <c r="F422" t="s">
        <v>2218</v>
      </c>
      <c r="G422" t="s">
        <v>2349</v>
      </c>
      <c r="H422" t="s">
        <v>18</v>
      </c>
      <c r="I422" t="s">
        <v>608</v>
      </c>
    </row>
    <row r="423" spans="1:9" ht="11.25" customHeight="1">
      <c r="A423" t="s">
        <v>2160</v>
      </c>
      <c r="B423" t="s">
        <v>14</v>
      </c>
      <c r="C423" t="s">
        <v>2357</v>
      </c>
      <c r="D423" t="s">
        <v>2358</v>
      </c>
      <c r="E423" t="s">
        <v>2359</v>
      </c>
      <c r="F423" t="s">
        <v>2176</v>
      </c>
      <c r="G423" t="s">
        <v>2360</v>
      </c>
      <c r="H423" t="s">
        <v>18</v>
      </c>
      <c r="I423" t="s">
        <v>608</v>
      </c>
    </row>
    <row r="424" spans="1:9" ht="11.25" customHeight="1">
      <c r="A424" t="s">
        <v>2160</v>
      </c>
      <c r="B424" t="s">
        <v>14</v>
      </c>
      <c r="C424" t="s">
        <v>2361</v>
      </c>
      <c r="D424" t="s">
        <v>2362</v>
      </c>
      <c r="E424" t="s">
        <v>2363</v>
      </c>
      <c r="F424" t="s">
        <v>2364</v>
      </c>
      <c r="G424" t="s">
        <v>18</v>
      </c>
      <c r="H424" t="s">
        <v>18</v>
      </c>
      <c r="I424" t="s">
        <v>608</v>
      </c>
    </row>
    <row r="425" spans="1:9" ht="11.25" customHeight="1">
      <c r="A425" t="s">
        <v>2160</v>
      </c>
      <c r="B425" t="s">
        <v>14</v>
      </c>
      <c r="C425" t="s">
        <v>2365</v>
      </c>
      <c r="D425" t="s">
        <v>2366</v>
      </c>
      <c r="E425" t="s">
        <v>2367</v>
      </c>
      <c r="F425" t="s">
        <v>2312</v>
      </c>
      <c r="G425" t="s">
        <v>18</v>
      </c>
      <c r="H425" t="s">
        <v>18</v>
      </c>
      <c r="I425" t="s">
        <v>608</v>
      </c>
    </row>
    <row r="426" spans="1:9" ht="11.25" customHeight="1">
      <c r="A426" t="s">
        <v>2160</v>
      </c>
      <c r="B426" t="s">
        <v>14</v>
      </c>
      <c r="C426" t="s">
        <v>2368</v>
      </c>
      <c r="D426" t="s">
        <v>2369</v>
      </c>
      <c r="E426" t="s">
        <v>2370</v>
      </c>
      <c r="F426" t="s">
        <v>2371</v>
      </c>
      <c r="G426" t="s">
        <v>18</v>
      </c>
      <c r="H426" t="s">
        <v>18</v>
      </c>
      <c r="I426" t="s">
        <v>608</v>
      </c>
    </row>
    <row r="427" spans="1:9" ht="11.25" customHeight="1">
      <c r="A427" t="s">
        <v>2160</v>
      </c>
      <c r="B427" t="s">
        <v>14</v>
      </c>
      <c r="C427" t="s">
        <v>2372</v>
      </c>
      <c r="D427" t="s">
        <v>2373</v>
      </c>
      <c r="E427" t="s">
        <v>2374</v>
      </c>
      <c r="F427" t="s">
        <v>2312</v>
      </c>
      <c r="G427" t="s">
        <v>18</v>
      </c>
      <c r="H427" t="s">
        <v>18</v>
      </c>
      <c r="I427" t="s">
        <v>608</v>
      </c>
    </row>
    <row r="428" spans="1:9" ht="11.25" customHeight="1">
      <c r="A428" t="s">
        <v>2160</v>
      </c>
      <c r="B428" t="s">
        <v>14</v>
      </c>
      <c r="C428" t="s">
        <v>2375</v>
      </c>
      <c r="D428" t="s">
        <v>2376</v>
      </c>
      <c r="E428" t="s">
        <v>2377</v>
      </c>
      <c r="F428" t="s">
        <v>2378</v>
      </c>
      <c r="G428" t="s">
        <v>18</v>
      </c>
      <c r="H428" t="s">
        <v>18</v>
      </c>
      <c r="I428" t="s">
        <v>608</v>
      </c>
    </row>
    <row r="429" spans="1:9" ht="11.25" customHeight="1">
      <c r="A429" t="s">
        <v>2160</v>
      </c>
      <c r="B429" t="s">
        <v>14</v>
      </c>
      <c r="C429" t="s">
        <v>2379</v>
      </c>
      <c r="D429" t="s">
        <v>2380</v>
      </c>
      <c r="E429" t="s">
        <v>2381</v>
      </c>
      <c r="F429" t="s">
        <v>2168</v>
      </c>
      <c r="G429" t="s">
        <v>18</v>
      </c>
      <c r="H429" t="s">
        <v>18</v>
      </c>
      <c r="I429" t="s">
        <v>608</v>
      </c>
    </row>
    <row r="430" spans="1:9" ht="11.25" customHeight="1">
      <c r="A430" t="s">
        <v>2160</v>
      </c>
      <c r="B430" t="s">
        <v>14</v>
      </c>
      <c r="C430" t="s">
        <v>2382</v>
      </c>
      <c r="D430" t="s">
        <v>2383</v>
      </c>
      <c r="E430" t="s">
        <v>2384</v>
      </c>
      <c r="F430" t="s">
        <v>2385</v>
      </c>
      <c r="G430" t="s">
        <v>18</v>
      </c>
      <c r="H430" t="s">
        <v>18</v>
      </c>
      <c r="I430" t="s">
        <v>608</v>
      </c>
    </row>
    <row r="431" spans="1:9" ht="11.25" customHeight="1">
      <c r="A431" t="s">
        <v>2160</v>
      </c>
      <c r="B431" t="s">
        <v>14</v>
      </c>
      <c r="C431" t="s">
        <v>2386</v>
      </c>
      <c r="D431" t="s">
        <v>2387</v>
      </c>
      <c r="E431" t="s">
        <v>2388</v>
      </c>
      <c r="F431" t="s">
        <v>2168</v>
      </c>
      <c r="G431" t="s">
        <v>2389</v>
      </c>
      <c r="H431" t="s">
        <v>18</v>
      </c>
      <c r="I431" t="s">
        <v>608</v>
      </c>
    </row>
    <row r="432" spans="1:9" ht="11.25" customHeight="1">
      <c r="A432" t="s">
        <v>2160</v>
      </c>
      <c r="B432" t="s">
        <v>14</v>
      </c>
      <c r="C432" t="s">
        <v>2397</v>
      </c>
      <c r="D432" t="s">
        <v>2398</v>
      </c>
      <c r="E432" t="s">
        <v>2399</v>
      </c>
      <c r="F432" t="s">
        <v>2230</v>
      </c>
      <c r="G432" t="s">
        <v>18</v>
      </c>
      <c r="H432" t="s">
        <v>18</v>
      </c>
      <c r="I432" t="s">
        <v>608</v>
      </c>
    </row>
    <row r="433" spans="1:9" ht="11.25" customHeight="1">
      <c r="A433" t="s">
        <v>2160</v>
      </c>
      <c r="B433" t="s">
        <v>14</v>
      </c>
      <c r="C433" t="s">
        <v>2400</v>
      </c>
      <c r="D433" t="s">
        <v>2401</v>
      </c>
      <c r="E433" t="s">
        <v>2402</v>
      </c>
      <c r="F433" t="s">
        <v>2192</v>
      </c>
      <c r="G433" t="s">
        <v>2403</v>
      </c>
      <c r="H433" t="s">
        <v>18</v>
      </c>
      <c r="I433" t="s">
        <v>608</v>
      </c>
    </row>
    <row r="434" spans="1:9" ht="11.25" customHeight="1">
      <c r="A434" t="s">
        <v>2160</v>
      </c>
      <c r="B434" t="s">
        <v>14</v>
      </c>
      <c r="C434" t="s">
        <v>2829</v>
      </c>
      <c r="D434" t="s">
        <v>2830</v>
      </c>
      <c r="E434" t="s">
        <v>2831</v>
      </c>
      <c r="F434" t="s">
        <v>2176</v>
      </c>
      <c r="G434" t="s">
        <v>18</v>
      </c>
      <c r="H434" t="s">
        <v>18</v>
      </c>
      <c r="I434" t="s">
        <v>608</v>
      </c>
    </row>
    <row r="435" spans="1:9" ht="11.25" customHeight="1">
      <c r="A435" t="s">
        <v>2160</v>
      </c>
      <c r="B435" t="s">
        <v>14</v>
      </c>
      <c r="C435" t="s">
        <v>2407</v>
      </c>
      <c r="D435" t="s">
        <v>2408</v>
      </c>
      <c r="E435" t="s">
        <v>2409</v>
      </c>
      <c r="F435" t="s">
        <v>2168</v>
      </c>
      <c r="G435" t="s">
        <v>2410</v>
      </c>
      <c r="H435" t="s">
        <v>18</v>
      </c>
      <c r="I435" t="s">
        <v>608</v>
      </c>
    </row>
    <row r="436" spans="1:9" ht="11.25" customHeight="1">
      <c r="A436" t="s">
        <v>2160</v>
      </c>
      <c r="B436" t="s">
        <v>14</v>
      </c>
      <c r="C436" t="s">
        <v>2411</v>
      </c>
      <c r="D436" t="s">
        <v>2412</v>
      </c>
      <c r="E436" t="s">
        <v>2413</v>
      </c>
      <c r="F436" t="s">
        <v>2414</v>
      </c>
      <c r="G436" t="s">
        <v>18</v>
      </c>
      <c r="H436" t="s">
        <v>2415</v>
      </c>
      <c r="I436" t="s">
        <v>608</v>
      </c>
    </row>
    <row r="437" spans="1:9" ht="11.25" customHeight="1">
      <c r="A437" t="s">
        <v>2160</v>
      </c>
      <c r="B437" t="s">
        <v>14</v>
      </c>
      <c r="C437" t="s">
        <v>2416</v>
      </c>
      <c r="D437" t="s">
        <v>2417</v>
      </c>
      <c r="E437" t="s">
        <v>2418</v>
      </c>
      <c r="F437" t="s">
        <v>2371</v>
      </c>
      <c r="G437" t="s">
        <v>18</v>
      </c>
      <c r="H437" t="s">
        <v>18</v>
      </c>
      <c r="I437" t="s">
        <v>608</v>
      </c>
    </row>
    <row r="438" spans="1:9" ht="11.25" customHeight="1">
      <c r="A438" t="s">
        <v>2160</v>
      </c>
      <c r="B438" t="s">
        <v>14</v>
      </c>
      <c r="C438" t="s">
        <v>2440</v>
      </c>
      <c r="D438" t="s">
        <v>2441</v>
      </c>
      <c r="E438" t="s">
        <v>2421</v>
      </c>
      <c r="F438" t="s">
        <v>2317</v>
      </c>
      <c r="G438" t="s">
        <v>18</v>
      </c>
      <c r="H438" t="s">
        <v>18</v>
      </c>
      <c r="I438" t="s">
        <v>608</v>
      </c>
    </row>
    <row r="439" spans="1:9" ht="11.25" customHeight="1">
      <c r="A439" t="s">
        <v>2160</v>
      </c>
      <c r="B439" t="s">
        <v>14</v>
      </c>
      <c r="C439" t="s">
        <v>2835</v>
      </c>
      <c r="D439" t="s">
        <v>2836</v>
      </c>
      <c r="E439" t="s">
        <v>2290</v>
      </c>
      <c r="F439" t="s">
        <v>2837</v>
      </c>
      <c r="G439" t="s">
        <v>18</v>
      </c>
      <c r="H439" t="s">
        <v>18</v>
      </c>
      <c r="I439" t="s">
        <v>608</v>
      </c>
    </row>
    <row r="440" spans="1:9" ht="11.25" customHeight="1">
      <c r="A440" t="s">
        <v>2160</v>
      </c>
      <c r="B440" t="s">
        <v>14</v>
      </c>
      <c r="C440" t="s">
        <v>2838</v>
      </c>
      <c r="D440" t="s">
        <v>2839</v>
      </c>
      <c r="E440" t="s">
        <v>2840</v>
      </c>
      <c r="F440" t="s">
        <v>2234</v>
      </c>
      <c r="G440" t="s">
        <v>2841</v>
      </c>
      <c r="H440" t="s">
        <v>18</v>
      </c>
      <c r="I440" t="s">
        <v>608</v>
      </c>
    </row>
    <row r="441" spans="1:9" ht="11.25" customHeight="1">
      <c r="A441" t="s">
        <v>2160</v>
      </c>
      <c r="B441" t="s">
        <v>14</v>
      </c>
      <c r="C441" t="s">
        <v>2463</v>
      </c>
      <c r="D441" t="s">
        <v>2464</v>
      </c>
      <c r="E441" t="s">
        <v>2465</v>
      </c>
      <c r="F441" t="s">
        <v>2466</v>
      </c>
      <c r="G441" t="s">
        <v>2467</v>
      </c>
      <c r="H441" t="s">
        <v>18</v>
      </c>
      <c r="I441" t="s">
        <v>608</v>
      </c>
    </row>
    <row r="442" spans="1:9" ht="11.25" customHeight="1">
      <c r="A442" t="s">
        <v>2160</v>
      </c>
      <c r="B442" t="s">
        <v>14</v>
      </c>
      <c r="C442" t="s">
        <v>2468</v>
      </c>
      <c r="D442" t="s">
        <v>2464</v>
      </c>
      <c r="E442" t="s">
        <v>2465</v>
      </c>
      <c r="F442" t="s">
        <v>2469</v>
      </c>
      <c r="G442" t="s">
        <v>18</v>
      </c>
      <c r="H442" t="s">
        <v>18</v>
      </c>
      <c r="I442" t="s">
        <v>608</v>
      </c>
    </row>
    <row r="443" spans="1:9" ht="11.25" customHeight="1">
      <c r="A443" t="s">
        <v>2160</v>
      </c>
      <c r="B443" t="s">
        <v>14</v>
      </c>
      <c r="C443" t="s">
        <v>2473</v>
      </c>
      <c r="D443" t="s">
        <v>2474</v>
      </c>
      <c r="E443" t="s">
        <v>2163</v>
      </c>
      <c r="F443" t="s">
        <v>2475</v>
      </c>
      <c r="G443" t="s">
        <v>18</v>
      </c>
      <c r="H443" t="s">
        <v>18</v>
      </c>
      <c r="I443" t="s">
        <v>608</v>
      </c>
    </row>
    <row r="444" spans="1:9" ht="11.25" customHeight="1">
      <c r="A444" t="s">
        <v>2160</v>
      </c>
      <c r="B444" t="s">
        <v>14</v>
      </c>
      <c r="C444" t="s">
        <v>2476</v>
      </c>
      <c r="D444" t="s">
        <v>2477</v>
      </c>
      <c r="E444" t="s">
        <v>2163</v>
      </c>
      <c r="F444" t="s">
        <v>2478</v>
      </c>
      <c r="G444" t="s">
        <v>18</v>
      </c>
      <c r="H444" t="s">
        <v>18</v>
      </c>
      <c r="I444" t="s">
        <v>608</v>
      </c>
    </row>
    <row r="445" spans="1:9" ht="11.25" customHeight="1">
      <c r="A445" t="s">
        <v>2160</v>
      </c>
      <c r="B445" t="s">
        <v>14</v>
      </c>
      <c r="C445" t="s">
        <v>2479</v>
      </c>
      <c r="D445" t="s">
        <v>2480</v>
      </c>
      <c r="E445" t="s">
        <v>2163</v>
      </c>
      <c r="F445" t="s">
        <v>2481</v>
      </c>
      <c r="G445" t="s">
        <v>18</v>
      </c>
      <c r="H445" t="s">
        <v>18</v>
      </c>
      <c r="I445" t="s">
        <v>608</v>
      </c>
    </row>
    <row r="446" spans="1:9" ht="11.25" customHeight="1">
      <c r="A446" t="s">
        <v>2160</v>
      </c>
      <c r="B446" t="s">
        <v>14</v>
      </c>
      <c r="C446" t="s">
        <v>2482</v>
      </c>
      <c r="D446" t="s">
        <v>2483</v>
      </c>
      <c r="E446" t="s">
        <v>2163</v>
      </c>
      <c r="F446" t="s">
        <v>2484</v>
      </c>
      <c r="G446" t="s">
        <v>18</v>
      </c>
      <c r="H446" t="s">
        <v>18</v>
      </c>
      <c r="I446" t="s">
        <v>608</v>
      </c>
    </row>
    <row r="447" spans="1:9" ht="11.25" customHeight="1">
      <c r="A447" t="s">
        <v>2160</v>
      </c>
      <c r="B447" t="s">
        <v>14</v>
      </c>
      <c r="C447" t="s">
        <v>2485</v>
      </c>
      <c r="D447" t="s">
        <v>2486</v>
      </c>
      <c r="E447" t="s">
        <v>2163</v>
      </c>
      <c r="F447" t="s">
        <v>2487</v>
      </c>
      <c r="G447" t="s">
        <v>18</v>
      </c>
      <c r="H447" t="s">
        <v>18</v>
      </c>
      <c r="I447" t="s">
        <v>608</v>
      </c>
    </row>
    <row r="448" spans="1:9" ht="11.25" customHeight="1">
      <c r="A448" t="s">
        <v>2160</v>
      </c>
      <c r="B448" t="s">
        <v>14</v>
      </c>
      <c r="C448" t="s">
        <v>2488</v>
      </c>
      <c r="D448" t="s">
        <v>2489</v>
      </c>
      <c r="E448" t="s">
        <v>2163</v>
      </c>
      <c r="F448" t="s">
        <v>2490</v>
      </c>
      <c r="G448" t="s">
        <v>18</v>
      </c>
      <c r="H448" t="s">
        <v>18</v>
      </c>
      <c r="I448" t="s">
        <v>608</v>
      </c>
    </row>
    <row r="449" spans="1:9" ht="11.25" customHeight="1">
      <c r="A449" t="s">
        <v>2160</v>
      </c>
      <c r="B449" t="s">
        <v>14</v>
      </c>
      <c r="C449" t="s">
        <v>2491</v>
      </c>
      <c r="D449" t="s">
        <v>2492</v>
      </c>
      <c r="E449" t="s">
        <v>2163</v>
      </c>
      <c r="F449" t="s">
        <v>2493</v>
      </c>
      <c r="G449" t="s">
        <v>18</v>
      </c>
      <c r="H449" t="s">
        <v>18</v>
      </c>
      <c r="I449" t="s">
        <v>608</v>
      </c>
    </row>
    <row r="450" spans="1:9" ht="11.25" customHeight="1">
      <c r="A450" t="s">
        <v>2160</v>
      </c>
      <c r="B450" t="s">
        <v>14</v>
      </c>
      <c r="C450" t="s">
        <v>2494</v>
      </c>
      <c r="D450" t="s">
        <v>2495</v>
      </c>
      <c r="E450" t="s">
        <v>2163</v>
      </c>
      <c r="F450" t="s">
        <v>2496</v>
      </c>
      <c r="G450" t="s">
        <v>18</v>
      </c>
      <c r="H450" t="s">
        <v>18</v>
      </c>
      <c r="I450" t="s">
        <v>608</v>
      </c>
    </row>
    <row r="451" spans="1:9" ht="11.25" customHeight="1">
      <c r="A451" t="s">
        <v>2160</v>
      </c>
      <c r="B451" t="s">
        <v>14</v>
      </c>
      <c r="C451" t="s">
        <v>2497</v>
      </c>
      <c r="D451" t="s">
        <v>2498</v>
      </c>
      <c r="E451" t="s">
        <v>2163</v>
      </c>
      <c r="F451" t="s">
        <v>2499</v>
      </c>
      <c r="G451" t="s">
        <v>18</v>
      </c>
      <c r="H451" t="s">
        <v>18</v>
      </c>
      <c r="I451" t="s">
        <v>608</v>
      </c>
    </row>
    <row r="452" spans="1:9" ht="11.25" customHeight="1">
      <c r="A452" t="s">
        <v>2160</v>
      </c>
      <c r="B452" t="s">
        <v>14</v>
      </c>
      <c r="C452" t="s">
        <v>2500</v>
      </c>
      <c r="D452" t="s">
        <v>2501</v>
      </c>
      <c r="E452" t="s">
        <v>2163</v>
      </c>
      <c r="F452" t="s">
        <v>2502</v>
      </c>
      <c r="G452" t="s">
        <v>18</v>
      </c>
      <c r="H452" t="s">
        <v>18</v>
      </c>
      <c r="I452" t="s">
        <v>608</v>
      </c>
    </row>
    <row r="453" spans="1:9" ht="11.25" customHeight="1">
      <c r="A453" t="s">
        <v>2160</v>
      </c>
      <c r="B453" t="s">
        <v>14</v>
      </c>
      <c r="C453" t="s">
        <v>2842</v>
      </c>
      <c r="D453" t="s">
        <v>2843</v>
      </c>
      <c r="E453" t="s">
        <v>2307</v>
      </c>
      <c r="F453" t="s">
        <v>2844</v>
      </c>
      <c r="G453" t="s">
        <v>18</v>
      </c>
      <c r="H453" t="s">
        <v>18</v>
      </c>
      <c r="I453" t="s">
        <v>608</v>
      </c>
    </row>
    <row r="454" spans="1:9" ht="11.25" customHeight="1">
      <c r="A454" t="s">
        <v>2160</v>
      </c>
      <c r="B454" t="s">
        <v>14</v>
      </c>
      <c r="C454" t="s">
        <v>2503</v>
      </c>
      <c r="D454" t="s">
        <v>2504</v>
      </c>
      <c r="E454" t="s">
        <v>2505</v>
      </c>
      <c r="F454" t="s">
        <v>2506</v>
      </c>
      <c r="G454" t="s">
        <v>18</v>
      </c>
      <c r="H454" t="s">
        <v>18</v>
      </c>
      <c r="I454" t="s">
        <v>608</v>
      </c>
    </row>
    <row r="455" spans="1:9" ht="11.25" customHeight="1">
      <c r="A455" t="s">
        <v>2160</v>
      </c>
      <c r="B455" t="s">
        <v>14</v>
      </c>
      <c r="C455" t="s">
        <v>2507</v>
      </c>
      <c r="D455" t="s">
        <v>2508</v>
      </c>
      <c r="E455" t="s">
        <v>2505</v>
      </c>
      <c r="F455" t="s">
        <v>2509</v>
      </c>
      <c r="G455" t="s">
        <v>18</v>
      </c>
      <c r="H455" t="s">
        <v>18</v>
      </c>
      <c r="I455" t="s">
        <v>608</v>
      </c>
    </row>
    <row r="456" spans="1:9" ht="11.25" customHeight="1">
      <c r="A456" t="s">
        <v>2160</v>
      </c>
      <c r="B456" t="s">
        <v>14</v>
      </c>
      <c r="C456" t="s">
        <v>2513</v>
      </c>
      <c r="D456" t="s">
        <v>2514</v>
      </c>
      <c r="E456" t="s">
        <v>2505</v>
      </c>
      <c r="F456" t="s">
        <v>2515</v>
      </c>
      <c r="G456" t="s">
        <v>18</v>
      </c>
      <c r="H456" t="s">
        <v>18</v>
      </c>
      <c r="I456" t="s">
        <v>608</v>
      </c>
    </row>
    <row r="457" spans="1:9" ht="11.25" customHeight="1">
      <c r="A457" t="s">
        <v>2160</v>
      </c>
      <c r="B457" t="s">
        <v>14</v>
      </c>
      <c r="C457" t="s">
        <v>2516</v>
      </c>
      <c r="D457" t="s">
        <v>2517</v>
      </c>
      <c r="E457" t="s">
        <v>2518</v>
      </c>
      <c r="F457" t="s">
        <v>52</v>
      </c>
      <c r="G457" t="s">
        <v>2519</v>
      </c>
      <c r="H457" t="s">
        <v>18</v>
      </c>
      <c r="I457" t="s">
        <v>608</v>
      </c>
    </row>
    <row r="458" spans="1:9" ht="11.25" customHeight="1">
      <c r="A458" t="s">
        <v>2160</v>
      </c>
      <c r="B458" t="s">
        <v>14</v>
      </c>
      <c r="C458" t="s">
        <v>2520</v>
      </c>
      <c r="D458" t="s">
        <v>2521</v>
      </c>
      <c r="E458" t="s">
        <v>2522</v>
      </c>
      <c r="F458" t="s">
        <v>2266</v>
      </c>
      <c r="G458" t="s">
        <v>18</v>
      </c>
      <c r="H458" t="s">
        <v>2523</v>
      </c>
      <c r="I458" t="s">
        <v>608</v>
      </c>
    </row>
    <row r="459" spans="1:9" ht="11.25" customHeight="1">
      <c r="A459" t="s">
        <v>2160</v>
      </c>
      <c r="B459" t="s">
        <v>14</v>
      </c>
      <c r="C459" t="s">
        <v>2524</v>
      </c>
      <c r="D459" t="s">
        <v>2525</v>
      </c>
      <c r="E459" t="s">
        <v>2526</v>
      </c>
      <c r="F459" t="s">
        <v>2176</v>
      </c>
      <c r="G459" t="s">
        <v>18</v>
      </c>
      <c r="H459" t="s">
        <v>18</v>
      </c>
      <c r="I459" t="s">
        <v>608</v>
      </c>
    </row>
    <row r="460" spans="1:9" ht="11.25" customHeight="1">
      <c r="A460" t="s">
        <v>2160</v>
      </c>
      <c r="B460" t="s">
        <v>14</v>
      </c>
      <c r="C460" t="s">
        <v>2531</v>
      </c>
      <c r="D460" t="s">
        <v>2532</v>
      </c>
      <c r="E460" t="s">
        <v>2171</v>
      </c>
      <c r="F460" t="s">
        <v>2533</v>
      </c>
      <c r="G460" t="s">
        <v>18</v>
      </c>
      <c r="H460" t="s">
        <v>18</v>
      </c>
      <c r="I460" t="s">
        <v>608</v>
      </c>
    </row>
    <row r="461" spans="1:9" ht="11.25" customHeight="1">
      <c r="A461" t="s">
        <v>2160</v>
      </c>
      <c r="B461" t="s">
        <v>14</v>
      </c>
      <c r="C461" t="s">
        <v>2845</v>
      </c>
      <c r="D461" t="s">
        <v>2846</v>
      </c>
      <c r="E461" t="s">
        <v>2171</v>
      </c>
      <c r="F461" t="s">
        <v>2847</v>
      </c>
      <c r="G461" t="s">
        <v>18</v>
      </c>
      <c r="H461" t="s">
        <v>18</v>
      </c>
      <c r="I461" t="s">
        <v>608</v>
      </c>
    </row>
    <row r="462" spans="1:9" ht="11.25" customHeight="1">
      <c r="A462" t="s">
        <v>2160</v>
      </c>
      <c r="B462" t="s">
        <v>14</v>
      </c>
      <c r="C462" t="s">
        <v>2536</v>
      </c>
      <c r="D462" t="s">
        <v>2537</v>
      </c>
      <c r="E462" t="s">
        <v>2538</v>
      </c>
      <c r="F462" t="s">
        <v>2539</v>
      </c>
      <c r="G462" t="s">
        <v>18</v>
      </c>
      <c r="H462" t="s">
        <v>18</v>
      </c>
      <c r="I462" t="s">
        <v>608</v>
      </c>
    </row>
    <row r="463" spans="1:9" ht="11.25" customHeight="1">
      <c r="A463" t="s">
        <v>2160</v>
      </c>
      <c r="B463" t="s">
        <v>14</v>
      </c>
      <c r="C463" t="s">
        <v>2540</v>
      </c>
      <c r="D463" t="s">
        <v>2537</v>
      </c>
      <c r="E463" t="s">
        <v>2538</v>
      </c>
      <c r="F463" t="s">
        <v>2541</v>
      </c>
      <c r="G463" t="s">
        <v>2542</v>
      </c>
      <c r="H463" t="s">
        <v>18</v>
      </c>
      <c r="I463" t="s">
        <v>608</v>
      </c>
    </row>
    <row r="464" spans="1:9" ht="11.25" customHeight="1">
      <c r="A464" t="s">
        <v>2160</v>
      </c>
      <c r="B464" t="s">
        <v>14</v>
      </c>
      <c r="C464" t="s">
        <v>2551</v>
      </c>
      <c r="D464" t="s">
        <v>2552</v>
      </c>
      <c r="E464" t="s">
        <v>2553</v>
      </c>
      <c r="F464" t="s">
        <v>2230</v>
      </c>
      <c r="G464" t="s">
        <v>18</v>
      </c>
      <c r="H464" t="s">
        <v>18</v>
      </c>
      <c r="I464" t="s">
        <v>608</v>
      </c>
    </row>
    <row r="465" spans="1:9" ht="11.25" customHeight="1">
      <c r="A465" t="s">
        <v>2160</v>
      </c>
      <c r="B465" t="s">
        <v>14</v>
      </c>
      <c r="C465" t="s">
        <v>2554</v>
      </c>
      <c r="D465" t="s">
        <v>2555</v>
      </c>
      <c r="E465" t="s">
        <v>2556</v>
      </c>
      <c r="F465" t="s">
        <v>2214</v>
      </c>
      <c r="G465" t="s">
        <v>18</v>
      </c>
      <c r="H465" t="s">
        <v>18</v>
      </c>
      <c r="I465" t="s">
        <v>608</v>
      </c>
    </row>
    <row r="466" spans="1:9" ht="11.25" customHeight="1">
      <c r="A466" t="s">
        <v>2160</v>
      </c>
      <c r="B466" t="s">
        <v>14</v>
      </c>
      <c r="C466" t="s">
        <v>2557</v>
      </c>
      <c r="D466" t="s">
        <v>2558</v>
      </c>
      <c r="E466" t="s">
        <v>2559</v>
      </c>
      <c r="F466" t="s">
        <v>2223</v>
      </c>
      <c r="G466" t="s">
        <v>18</v>
      </c>
      <c r="H466" t="s">
        <v>18</v>
      </c>
      <c r="I466" t="s">
        <v>608</v>
      </c>
    </row>
    <row r="467" spans="1:9" ht="11.25" customHeight="1">
      <c r="A467" t="s">
        <v>2160</v>
      </c>
      <c r="B467" t="s">
        <v>14</v>
      </c>
      <c r="C467" t="s">
        <v>2566</v>
      </c>
      <c r="D467" t="s">
        <v>2567</v>
      </c>
      <c r="E467" t="s">
        <v>2568</v>
      </c>
      <c r="F467" t="s">
        <v>2168</v>
      </c>
      <c r="G467" t="s">
        <v>2569</v>
      </c>
      <c r="H467" t="s">
        <v>18</v>
      </c>
      <c r="I467" t="s">
        <v>608</v>
      </c>
    </row>
    <row r="468" spans="1:9" ht="11.25" customHeight="1">
      <c r="A468" t="s">
        <v>2160</v>
      </c>
      <c r="B468" t="s">
        <v>14</v>
      </c>
      <c r="C468" t="s">
        <v>2570</v>
      </c>
      <c r="D468" t="s">
        <v>2571</v>
      </c>
      <c r="E468" t="s">
        <v>2572</v>
      </c>
      <c r="F468" t="s">
        <v>2414</v>
      </c>
      <c r="G468" t="s">
        <v>18</v>
      </c>
      <c r="H468" t="s">
        <v>2573</v>
      </c>
      <c r="I468" t="s">
        <v>608</v>
      </c>
    </row>
    <row r="469" spans="1:9" ht="11.25" customHeight="1">
      <c r="A469" t="s">
        <v>2160</v>
      </c>
      <c r="B469" t="s">
        <v>14</v>
      </c>
      <c r="C469" t="s">
        <v>2574</v>
      </c>
      <c r="D469" t="s">
        <v>2575</v>
      </c>
      <c r="E469" t="s">
        <v>2576</v>
      </c>
      <c r="F469" t="s">
        <v>2414</v>
      </c>
      <c r="G469" t="s">
        <v>18</v>
      </c>
      <c r="H469" t="s">
        <v>18</v>
      </c>
      <c r="I469" t="s">
        <v>608</v>
      </c>
    </row>
    <row r="470" spans="1:9" ht="11.25" customHeight="1">
      <c r="A470" t="s">
        <v>2160</v>
      </c>
      <c r="B470" t="s">
        <v>14</v>
      </c>
      <c r="C470" t="s">
        <v>2577</v>
      </c>
      <c r="D470" t="s">
        <v>2578</v>
      </c>
      <c r="E470" t="s">
        <v>2579</v>
      </c>
      <c r="F470" t="s">
        <v>2196</v>
      </c>
      <c r="G470" t="s">
        <v>2580</v>
      </c>
      <c r="H470" t="s">
        <v>18</v>
      </c>
      <c r="I470" t="s">
        <v>608</v>
      </c>
    </row>
    <row r="471" spans="1:9" ht="11.25" customHeight="1">
      <c r="A471" t="s">
        <v>2160</v>
      </c>
      <c r="B471" t="s">
        <v>14</v>
      </c>
      <c r="C471" t="s">
        <v>2581</v>
      </c>
      <c r="D471" t="s">
        <v>2582</v>
      </c>
      <c r="E471" t="s">
        <v>2583</v>
      </c>
      <c r="F471" t="s">
        <v>2364</v>
      </c>
      <c r="G471" t="s">
        <v>18</v>
      </c>
      <c r="H471" t="s">
        <v>18</v>
      </c>
      <c r="I471" t="s">
        <v>608</v>
      </c>
    </row>
    <row r="472" spans="1:9" ht="11.25" customHeight="1">
      <c r="A472" t="s">
        <v>2160</v>
      </c>
      <c r="B472" t="s">
        <v>14</v>
      </c>
      <c r="C472" t="s">
        <v>2854</v>
      </c>
      <c r="D472" t="s">
        <v>2855</v>
      </c>
      <c r="E472" t="s">
        <v>2856</v>
      </c>
      <c r="F472" t="s">
        <v>2230</v>
      </c>
      <c r="G472" t="s">
        <v>18</v>
      </c>
      <c r="H472" t="s">
        <v>18</v>
      </c>
      <c r="I472" t="s">
        <v>608</v>
      </c>
    </row>
    <row r="473" spans="1:9" ht="11.25" customHeight="1">
      <c r="A473" t="s">
        <v>2160</v>
      </c>
      <c r="B473" t="s">
        <v>14</v>
      </c>
      <c r="C473" t="s">
        <v>2594</v>
      </c>
      <c r="D473" t="s">
        <v>2595</v>
      </c>
      <c r="E473" t="s">
        <v>2596</v>
      </c>
      <c r="F473" t="s">
        <v>2364</v>
      </c>
      <c r="G473" t="s">
        <v>18</v>
      </c>
      <c r="H473" t="s">
        <v>18</v>
      </c>
      <c r="I473" t="s">
        <v>608</v>
      </c>
    </row>
    <row r="474" spans="1:9" ht="11.25" customHeight="1">
      <c r="A474" t="s">
        <v>2160</v>
      </c>
      <c r="B474" t="s">
        <v>14</v>
      </c>
      <c r="C474" t="s">
        <v>2597</v>
      </c>
      <c r="D474" t="s">
        <v>2598</v>
      </c>
      <c r="E474" t="s">
        <v>2599</v>
      </c>
      <c r="F474" t="s">
        <v>2414</v>
      </c>
      <c r="G474" t="s">
        <v>18</v>
      </c>
      <c r="H474" t="s">
        <v>18</v>
      </c>
      <c r="I474" t="s">
        <v>608</v>
      </c>
    </row>
    <row r="475" spans="1:9" ht="11.25" customHeight="1">
      <c r="A475" t="s">
        <v>2160</v>
      </c>
      <c r="B475" t="s">
        <v>14</v>
      </c>
      <c r="C475" t="s">
        <v>2617</v>
      </c>
      <c r="D475" t="s">
        <v>2618</v>
      </c>
      <c r="E475" t="s">
        <v>2619</v>
      </c>
      <c r="F475" t="s">
        <v>2620</v>
      </c>
      <c r="G475" t="s">
        <v>2621</v>
      </c>
      <c r="H475" t="s">
        <v>18</v>
      </c>
      <c r="I475" t="s">
        <v>608</v>
      </c>
    </row>
    <row r="476" spans="1:9" ht="11.25" customHeight="1">
      <c r="A476" t="s">
        <v>2160</v>
      </c>
      <c r="B476" t="s">
        <v>14</v>
      </c>
      <c r="C476" t="s">
        <v>2622</v>
      </c>
      <c r="D476" t="s">
        <v>2623</v>
      </c>
      <c r="E476" t="s">
        <v>2624</v>
      </c>
      <c r="F476" t="s">
        <v>2414</v>
      </c>
      <c r="G476" t="s">
        <v>18</v>
      </c>
      <c r="H476" t="s">
        <v>18</v>
      </c>
      <c r="I476" t="s">
        <v>608</v>
      </c>
    </row>
    <row r="477" spans="1:9" ht="11.25" customHeight="1">
      <c r="A477" t="s">
        <v>2160</v>
      </c>
      <c r="B477" t="s">
        <v>14</v>
      </c>
      <c r="C477" t="s">
        <v>2857</v>
      </c>
      <c r="D477" t="s">
        <v>2858</v>
      </c>
      <c r="E477" t="s">
        <v>2307</v>
      </c>
      <c r="F477" t="s">
        <v>2196</v>
      </c>
      <c r="G477" t="s">
        <v>18</v>
      </c>
      <c r="H477" t="s">
        <v>18</v>
      </c>
      <c r="I477" t="s">
        <v>608</v>
      </c>
    </row>
    <row r="478" spans="1:9" ht="11.25" customHeight="1">
      <c r="A478" t="s">
        <v>2160</v>
      </c>
      <c r="B478" t="s">
        <v>14</v>
      </c>
      <c r="C478" t="s">
        <v>2629</v>
      </c>
      <c r="D478" t="s">
        <v>2630</v>
      </c>
      <c r="E478" t="s">
        <v>2631</v>
      </c>
      <c r="F478" t="s">
        <v>2632</v>
      </c>
      <c r="G478" t="s">
        <v>2633</v>
      </c>
      <c r="H478" t="s">
        <v>18</v>
      </c>
      <c r="I478" t="s">
        <v>608</v>
      </c>
    </row>
    <row r="479" spans="1:9" ht="11.25" customHeight="1">
      <c r="A479" t="s">
        <v>2160</v>
      </c>
      <c r="B479" t="s">
        <v>14</v>
      </c>
      <c r="C479" t="s">
        <v>2862</v>
      </c>
      <c r="D479" t="s">
        <v>2863</v>
      </c>
      <c r="E479" t="s">
        <v>2864</v>
      </c>
      <c r="F479" t="s">
        <v>2230</v>
      </c>
      <c r="G479" t="s">
        <v>18</v>
      </c>
      <c r="H479" t="s">
        <v>18</v>
      </c>
      <c r="I479" t="s">
        <v>608</v>
      </c>
    </row>
    <row r="480" spans="1:9" ht="11.25" customHeight="1">
      <c r="A480" t="s">
        <v>2160</v>
      </c>
      <c r="B480" t="s">
        <v>14</v>
      </c>
      <c r="C480" t="s">
        <v>2912</v>
      </c>
      <c r="D480" t="s">
        <v>2913</v>
      </c>
      <c r="E480" t="s">
        <v>2914</v>
      </c>
      <c r="F480" t="s">
        <v>2230</v>
      </c>
      <c r="G480" t="s">
        <v>18</v>
      </c>
      <c r="H480" t="s">
        <v>18</v>
      </c>
      <c r="I480" t="s">
        <v>608</v>
      </c>
    </row>
    <row r="481" spans="1:9" ht="11.25" customHeight="1">
      <c r="A481" t="s">
        <v>2160</v>
      </c>
      <c r="B481" t="s">
        <v>14</v>
      </c>
      <c r="C481" t="s">
        <v>2670</v>
      </c>
      <c r="D481" t="s">
        <v>2671</v>
      </c>
      <c r="E481" t="s">
        <v>2672</v>
      </c>
      <c r="F481" t="s">
        <v>2266</v>
      </c>
      <c r="G481" t="s">
        <v>18</v>
      </c>
      <c r="H481" t="s">
        <v>18</v>
      </c>
      <c r="I481" t="s">
        <v>608</v>
      </c>
    </row>
    <row r="482" spans="1:9" ht="11.25" customHeight="1">
      <c r="A482" t="s">
        <v>2160</v>
      </c>
      <c r="B482" t="s">
        <v>14</v>
      </c>
      <c r="C482" t="s">
        <v>2677</v>
      </c>
      <c r="D482" t="s">
        <v>2678</v>
      </c>
      <c r="E482" t="s">
        <v>2679</v>
      </c>
      <c r="F482" t="s">
        <v>2266</v>
      </c>
      <c r="G482" t="s">
        <v>18</v>
      </c>
      <c r="H482" t="s">
        <v>18</v>
      </c>
      <c r="I482" t="s">
        <v>608</v>
      </c>
    </row>
    <row r="483" spans="1:9" ht="11.25" customHeight="1">
      <c r="A483" t="s">
        <v>2160</v>
      </c>
      <c r="B483" t="s">
        <v>14</v>
      </c>
      <c r="C483" t="s">
        <v>2680</v>
      </c>
      <c r="D483" t="s">
        <v>2681</v>
      </c>
      <c r="E483" t="s">
        <v>2538</v>
      </c>
      <c r="F483" t="s">
        <v>2682</v>
      </c>
      <c r="G483" t="s">
        <v>18</v>
      </c>
      <c r="H483" t="s">
        <v>18</v>
      </c>
      <c r="I483" t="s">
        <v>608</v>
      </c>
    </row>
    <row r="484" spans="1:9" ht="11.25" customHeight="1">
      <c r="A484" t="s">
        <v>2160</v>
      </c>
      <c r="B484" t="s">
        <v>14</v>
      </c>
      <c r="C484" t="s">
        <v>2683</v>
      </c>
      <c r="D484" t="s">
        <v>2684</v>
      </c>
      <c r="E484" t="s">
        <v>2685</v>
      </c>
      <c r="F484" t="s">
        <v>2266</v>
      </c>
      <c r="G484" t="s">
        <v>18</v>
      </c>
      <c r="H484" t="s">
        <v>18</v>
      </c>
      <c r="I484" t="s">
        <v>608</v>
      </c>
    </row>
    <row r="485" spans="1:9" ht="11.25" customHeight="1">
      <c r="A485" t="s">
        <v>2160</v>
      </c>
      <c r="B485" t="s">
        <v>14</v>
      </c>
      <c r="C485" t="s">
        <v>2686</v>
      </c>
      <c r="D485" t="s">
        <v>2687</v>
      </c>
      <c r="E485" t="s">
        <v>2688</v>
      </c>
      <c r="F485" t="s">
        <v>2242</v>
      </c>
      <c r="G485" t="s">
        <v>18</v>
      </c>
      <c r="H485" t="s">
        <v>18</v>
      </c>
      <c r="I485" t="s">
        <v>608</v>
      </c>
    </row>
    <row r="486" spans="1:9" ht="11.25" customHeight="1">
      <c r="A486" t="s">
        <v>2160</v>
      </c>
      <c r="B486" t="s">
        <v>14</v>
      </c>
      <c r="C486" t="s">
        <v>2868</v>
      </c>
      <c r="D486" t="s">
        <v>2869</v>
      </c>
      <c r="E486" t="s">
        <v>2870</v>
      </c>
      <c r="F486" t="s">
        <v>2176</v>
      </c>
      <c r="G486" t="s">
        <v>18</v>
      </c>
      <c r="H486" t="s">
        <v>18</v>
      </c>
      <c r="I486" t="s">
        <v>608</v>
      </c>
    </row>
    <row r="487" spans="1:9" ht="11.25" customHeight="1">
      <c r="A487" t="s">
        <v>2160</v>
      </c>
      <c r="B487" t="s">
        <v>14</v>
      </c>
      <c r="C487" t="s">
        <v>2689</v>
      </c>
      <c r="D487" t="s">
        <v>2690</v>
      </c>
      <c r="E487" t="s">
        <v>2691</v>
      </c>
      <c r="F487" t="s">
        <v>2230</v>
      </c>
      <c r="G487" t="s">
        <v>2692</v>
      </c>
      <c r="H487" t="s">
        <v>18</v>
      </c>
      <c r="I487" t="s">
        <v>608</v>
      </c>
    </row>
    <row r="488" spans="1:9" ht="11.25" customHeight="1">
      <c r="A488" t="s">
        <v>2160</v>
      </c>
      <c r="B488" t="s">
        <v>14</v>
      </c>
      <c r="C488" t="s">
        <v>2874</v>
      </c>
      <c r="D488" t="s">
        <v>2875</v>
      </c>
      <c r="E488" t="s">
        <v>2876</v>
      </c>
      <c r="F488" t="s">
        <v>2877</v>
      </c>
      <c r="G488" t="s">
        <v>18</v>
      </c>
      <c r="H488" t="s">
        <v>18</v>
      </c>
      <c r="I488" t="s">
        <v>608</v>
      </c>
    </row>
    <row r="489" spans="1:9" ht="11.25" customHeight="1">
      <c r="A489" t="s">
        <v>2160</v>
      </c>
      <c r="B489" t="s">
        <v>14</v>
      </c>
      <c r="C489" t="s">
        <v>2881</v>
      </c>
      <c r="D489" t="s">
        <v>2882</v>
      </c>
      <c r="E489" t="s">
        <v>2883</v>
      </c>
      <c r="F489" t="s">
        <v>2218</v>
      </c>
      <c r="G489" t="s">
        <v>18</v>
      </c>
      <c r="H489" t="s">
        <v>18</v>
      </c>
      <c r="I489" t="s">
        <v>608</v>
      </c>
    </row>
    <row r="490" spans="1:9" ht="11.25" customHeight="1">
      <c r="A490" t="s">
        <v>2160</v>
      </c>
      <c r="B490" t="s">
        <v>14</v>
      </c>
      <c r="C490" t="s">
        <v>2702</v>
      </c>
      <c r="D490" t="s">
        <v>2703</v>
      </c>
      <c r="E490" t="s">
        <v>2704</v>
      </c>
      <c r="F490" t="s">
        <v>2266</v>
      </c>
      <c r="G490" t="s">
        <v>18</v>
      </c>
      <c r="H490" t="s">
        <v>18</v>
      </c>
      <c r="I490" t="s">
        <v>608</v>
      </c>
    </row>
    <row r="491" spans="1:9" ht="11.25" customHeight="1">
      <c r="A491" t="s">
        <v>2160</v>
      </c>
      <c r="B491" t="s">
        <v>14</v>
      </c>
      <c r="C491" t="s">
        <v>2915</v>
      </c>
      <c r="D491" t="s">
        <v>2916</v>
      </c>
      <c r="E491" t="s">
        <v>2917</v>
      </c>
      <c r="F491" t="s">
        <v>2234</v>
      </c>
      <c r="G491" t="s">
        <v>18</v>
      </c>
      <c r="H491" t="s">
        <v>18</v>
      </c>
      <c r="I491" t="s">
        <v>608</v>
      </c>
    </row>
    <row r="492" spans="1:9" ht="11.25" customHeight="1">
      <c r="A492" t="s">
        <v>2160</v>
      </c>
      <c r="B492" t="s">
        <v>14</v>
      </c>
      <c r="C492" t="s">
        <v>2715</v>
      </c>
      <c r="D492" t="s">
        <v>2716</v>
      </c>
      <c r="E492" t="s">
        <v>2717</v>
      </c>
      <c r="F492" t="s">
        <v>2718</v>
      </c>
      <c r="G492" t="s">
        <v>18</v>
      </c>
      <c r="H492" t="s">
        <v>18</v>
      </c>
      <c r="I492" t="s">
        <v>608</v>
      </c>
    </row>
    <row r="493" spans="1:9" ht="11.25" customHeight="1">
      <c r="A493" t="s">
        <v>2160</v>
      </c>
      <c r="B493" t="s">
        <v>14</v>
      </c>
      <c r="C493" t="s">
        <v>2884</v>
      </c>
      <c r="D493" t="s">
        <v>2885</v>
      </c>
      <c r="E493" t="s">
        <v>2886</v>
      </c>
      <c r="F493" t="s">
        <v>2196</v>
      </c>
      <c r="G493" t="s">
        <v>2887</v>
      </c>
      <c r="H493" t="s">
        <v>18</v>
      </c>
      <c r="I493" t="s">
        <v>608</v>
      </c>
    </row>
    <row r="494" spans="1:9" ht="11.25" customHeight="1">
      <c r="A494" t="s">
        <v>2160</v>
      </c>
      <c r="B494" t="s">
        <v>14</v>
      </c>
      <c r="C494" t="s">
        <v>2719</v>
      </c>
      <c r="D494" t="s">
        <v>2720</v>
      </c>
      <c r="E494" t="s">
        <v>2721</v>
      </c>
      <c r="F494" t="s">
        <v>2196</v>
      </c>
      <c r="G494" t="s">
        <v>18</v>
      </c>
      <c r="H494" t="s">
        <v>18</v>
      </c>
      <c r="I494" t="s">
        <v>608</v>
      </c>
    </row>
    <row r="495" spans="1:9" ht="11.25" customHeight="1">
      <c r="A495" t="s">
        <v>2160</v>
      </c>
      <c r="B495" t="s">
        <v>14</v>
      </c>
      <c r="C495" t="s">
        <v>2725</v>
      </c>
      <c r="D495" t="s">
        <v>2726</v>
      </c>
      <c r="E495" t="s">
        <v>2727</v>
      </c>
      <c r="F495" t="s">
        <v>2223</v>
      </c>
      <c r="G495" t="s">
        <v>2728</v>
      </c>
      <c r="H495" t="s">
        <v>18</v>
      </c>
      <c r="I495" t="s">
        <v>608</v>
      </c>
    </row>
    <row r="496" spans="1:9" ht="11.25" customHeight="1">
      <c r="A496" t="s">
        <v>2160</v>
      </c>
      <c r="B496" t="s">
        <v>14</v>
      </c>
      <c r="C496" t="s">
        <v>2737</v>
      </c>
      <c r="D496" t="s">
        <v>2738</v>
      </c>
      <c r="E496" t="s">
        <v>2739</v>
      </c>
      <c r="F496" t="s">
        <v>2414</v>
      </c>
      <c r="G496" t="s">
        <v>2740</v>
      </c>
      <c r="H496" t="s">
        <v>18</v>
      </c>
      <c r="I496" t="s">
        <v>608</v>
      </c>
    </row>
    <row r="497" spans="1:9" ht="11.25" customHeight="1">
      <c r="A497" t="s">
        <v>2160</v>
      </c>
      <c r="B497" t="s">
        <v>14</v>
      </c>
      <c r="C497" t="s">
        <v>2897</v>
      </c>
      <c r="D497" t="s">
        <v>2898</v>
      </c>
      <c r="E497" t="s">
        <v>2899</v>
      </c>
      <c r="F497" t="s">
        <v>2364</v>
      </c>
      <c r="G497" t="s">
        <v>18</v>
      </c>
      <c r="H497" t="s">
        <v>18</v>
      </c>
      <c r="I497" t="s">
        <v>608</v>
      </c>
    </row>
    <row r="498" spans="1:9" ht="11.25" customHeight="1">
      <c r="A498" t="s">
        <v>2160</v>
      </c>
      <c r="B498" t="s">
        <v>14</v>
      </c>
      <c r="C498" t="s">
        <v>2900</v>
      </c>
      <c r="D498" t="s">
        <v>2901</v>
      </c>
      <c r="E498" t="s">
        <v>2171</v>
      </c>
      <c r="F498" t="s">
        <v>2902</v>
      </c>
      <c r="G498" t="s">
        <v>18</v>
      </c>
      <c r="H498" t="s">
        <v>18</v>
      </c>
      <c r="I498" t="s">
        <v>608</v>
      </c>
    </row>
    <row r="499" spans="1:9" ht="11.25" customHeight="1">
      <c r="A499" t="s">
        <v>2160</v>
      </c>
      <c r="B499" t="s">
        <v>14</v>
      </c>
      <c r="C499" t="s">
        <v>2903</v>
      </c>
      <c r="D499" t="s">
        <v>2904</v>
      </c>
      <c r="E499" t="s">
        <v>2905</v>
      </c>
      <c r="F499" t="s">
        <v>2196</v>
      </c>
      <c r="G499" t="s">
        <v>18</v>
      </c>
      <c r="H499" t="s">
        <v>18</v>
      </c>
      <c r="I499" t="s">
        <v>608</v>
      </c>
    </row>
    <row r="500" spans="1:9" ht="11.25" customHeight="1">
      <c r="A500" t="s">
        <v>2160</v>
      </c>
      <c r="B500" t="s">
        <v>14</v>
      </c>
      <c r="C500" t="s">
        <v>2760</v>
      </c>
      <c r="D500" t="s">
        <v>2761</v>
      </c>
      <c r="E500" t="s">
        <v>2762</v>
      </c>
      <c r="F500" t="s">
        <v>2196</v>
      </c>
      <c r="G500" t="s">
        <v>18</v>
      </c>
      <c r="H500" t="s">
        <v>18</v>
      </c>
      <c r="I500" t="s">
        <v>608</v>
      </c>
    </row>
    <row r="501" spans="1:9" ht="11.25" customHeight="1">
      <c r="A501" t="s">
        <v>2160</v>
      </c>
      <c r="B501" t="s">
        <v>14</v>
      </c>
      <c r="C501" t="s">
        <v>2906</v>
      </c>
      <c r="D501" t="s">
        <v>2907</v>
      </c>
      <c r="E501" t="s">
        <v>2908</v>
      </c>
      <c r="F501" t="s">
        <v>2356</v>
      </c>
      <c r="G501" t="s">
        <v>18</v>
      </c>
      <c r="H501" t="s">
        <v>18</v>
      </c>
      <c r="I501" t="s">
        <v>608</v>
      </c>
    </row>
    <row r="502" spans="1:9" ht="11.25" customHeight="1">
      <c r="A502" t="s">
        <v>2160</v>
      </c>
      <c r="B502" t="s">
        <v>14</v>
      </c>
      <c r="C502" t="s">
        <v>2766</v>
      </c>
      <c r="D502" t="s">
        <v>2767</v>
      </c>
      <c r="E502" t="s">
        <v>2505</v>
      </c>
      <c r="F502" t="s">
        <v>2768</v>
      </c>
      <c r="G502" t="s">
        <v>18</v>
      </c>
      <c r="H502" t="s">
        <v>18</v>
      </c>
      <c r="I502" t="s">
        <v>608</v>
      </c>
    </row>
    <row r="503" spans="1:9" ht="11.25" customHeight="1">
      <c r="A503" t="s">
        <v>2160</v>
      </c>
      <c r="B503" t="s">
        <v>14</v>
      </c>
      <c r="C503" t="s">
        <v>2769</v>
      </c>
      <c r="D503" t="s">
        <v>2770</v>
      </c>
      <c r="E503" t="s">
        <v>2421</v>
      </c>
      <c r="F503" t="s">
        <v>2533</v>
      </c>
      <c r="G503" t="s">
        <v>18</v>
      </c>
      <c r="H503" t="s">
        <v>18</v>
      </c>
      <c r="I503" t="s">
        <v>608</v>
      </c>
    </row>
    <row r="504" spans="1:9" ht="11.25" customHeight="1">
      <c r="A504" t="s">
        <v>2160</v>
      </c>
      <c r="B504" t="s">
        <v>14</v>
      </c>
      <c r="C504" t="s">
        <v>2771</v>
      </c>
      <c r="D504" t="s">
        <v>2772</v>
      </c>
      <c r="E504" t="s">
        <v>2739</v>
      </c>
      <c r="F504" t="s">
        <v>2773</v>
      </c>
      <c r="G504" t="s">
        <v>18</v>
      </c>
      <c r="H504" t="s">
        <v>2774</v>
      </c>
      <c r="I504" t="s">
        <v>608</v>
      </c>
    </row>
    <row r="505" spans="1:9" ht="11.25" customHeight="1">
      <c r="A505" t="s">
        <v>2160</v>
      </c>
      <c r="B505" t="s">
        <v>14</v>
      </c>
      <c r="C505" t="s">
        <v>2781</v>
      </c>
      <c r="D505" t="s">
        <v>2782</v>
      </c>
      <c r="E505" t="s">
        <v>2226</v>
      </c>
      <c r="F505" t="s">
        <v>2783</v>
      </c>
      <c r="G505" t="s">
        <v>18</v>
      </c>
      <c r="H505" t="s">
        <v>18</v>
      </c>
      <c r="I505" t="s">
        <v>608</v>
      </c>
    </row>
    <row r="506" spans="1:9" ht="11.25" customHeight="1">
      <c r="A506" t="s">
        <v>2160</v>
      </c>
      <c r="B506" t="s">
        <v>14</v>
      </c>
      <c r="C506" t="s">
        <v>2787</v>
      </c>
      <c r="D506" t="s">
        <v>2788</v>
      </c>
      <c r="E506" t="s">
        <v>50</v>
      </c>
      <c r="F506" t="s">
        <v>2789</v>
      </c>
      <c r="G506" t="s">
        <v>2790</v>
      </c>
      <c r="H506" t="s">
        <v>18</v>
      </c>
      <c r="I506" t="s">
        <v>608</v>
      </c>
    </row>
    <row r="507" spans="1:9" ht="11.25" customHeight="1">
      <c r="A507" t="s">
        <v>2160</v>
      </c>
      <c r="B507" t="s">
        <v>14</v>
      </c>
      <c r="C507" t="s">
        <v>2791</v>
      </c>
      <c r="D507" t="s">
        <v>2792</v>
      </c>
      <c r="E507" t="s">
        <v>2793</v>
      </c>
      <c r="F507" t="s">
        <v>2632</v>
      </c>
      <c r="G507" t="s">
        <v>18</v>
      </c>
      <c r="H507" t="s">
        <v>18</v>
      </c>
      <c r="I507" t="s">
        <v>608</v>
      </c>
    </row>
    <row r="508" spans="1:9" ht="11.25" customHeight="1">
      <c r="A508" t="s">
        <v>2160</v>
      </c>
      <c r="B508" t="s">
        <v>14</v>
      </c>
      <c r="C508" t="s">
        <v>2184</v>
      </c>
      <c r="D508" t="s">
        <v>2185</v>
      </c>
      <c r="E508" t="s">
        <v>2186</v>
      </c>
      <c r="F508" t="s">
        <v>2187</v>
      </c>
      <c r="G508" t="s">
        <v>2188</v>
      </c>
      <c r="H508" t="s">
        <v>18</v>
      </c>
      <c r="I508" t="s">
        <v>1025</v>
      </c>
    </row>
    <row r="509" spans="1:9" ht="11.25" customHeight="1">
      <c r="A509" t="s">
        <v>2160</v>
      </c>
      <c r="B509" t="s">
        <v>14</v>
      </c>
      <c r="C509" t="s">
        <v>2252</v>
      </c>
      <c r="D509" t="s">
        <v>2253</v>
      </c>
      <c r="E509" t="s">
        <v>2254</v>
      </c>
      <c r="F509" t="s">
        <v>2192</v>
      </c>
      <c r="G509" t="s">
        <v>2255</v>
      </c>
      <c r="H509" t="s">
        <v>18</v>
      </c>
      <c r="I509" t="s">
        <v>1025</v>
      </c>
    </row>
    <row r="510" spans="1:9" ht="11.25" customHeight="1">
      <c r="A510" t="s">
        <v>2160</v>
      </c>
      <c r="B510" t="s">
        <v>14</v>
      </c>
      <c r="C510" t="s">
        <v>2918</v>
      </c>
      <c r="D510" t="s">
        <v>2919</v>
      </c>
      <c r="E510" t="s">
        <v>2920</v>
      </c>
      <c r="F510" t="s">
        <v>2312</v>
      </c>
      <c r="G510" t="s">
        <v>2921</v>
      </c>
      <c r="H510" t="s">
        <v>18</v>
      </c>
      <c r="I510" t="s">
        <v>1025</v>
      </c>
    </row>
    <row r="511" spans="1:9" ht="11.25" customHeight="1">
      <c r="A511" t="s">
        <v>2160</v>
      </c>
      <c r="B511" t="s">
        <v>14</v>
      </c>
      <c r="C511" t="s">
        <v>2922</v>
      </c>
      <c r="D511" t="s">
        <v>2923</v>
      </c>
      <c r="E511" t="s">
        <v>2924</v>
      </c>
      <c r="F511" t="s">
        <v>2246</v>
      </c>
      <c r="G511" t="s">
        <v>18</v>
      </c>
      <c r="H511" t="s">
        <v>18</v>
      </c>
      <c r="I511" t="s">
        <v>1025</v>
      </c>
    </row>
    <row r="512" spans="1:9" ht="11.25" customHeight="1">
      <c r="A512" t="s">
        <v>2160</v>
      </c>
      <c r="B512" t="s">
        <v>14</v>
      </c>
      <c r="C512" t="s">
        <v>2925</v>
      </c>
      <c r="D512" t="s">
        <v>2926</v>
      </c>
      <c r="E512" t="s">
        <v>2927</v>
      </c>
      <c r="F512" t="s">
        <v>2246</v>
      </c>
      <c r="G512" t="s">
        <v>2928</v>
      </c>
      <c r="H512" t="s">
        <v>18</v>
      </c>
      <c r="I512" t="s">
        <v>1025</v>
      </c>
    </row>
    <row r="513" spans="1:9" ht="11.25" customHeight="1">
      <c r="A513" t="s">
        <v>2160</v>
      </c>
      <c r="B513" t="s">
        <v>14</v>
      </c>
      <c r="C513" t="s">
        <v>2929</v>
      </c>
      <c r="D513" t="s">
        <v>2930</v>
      </c>
      <c r="E513" t="s">
        <v>2931</v>
      </c>
      <c r="F513" t="s">
        <v>432</v>
      </c>
      <c r="G513" t="s">
        <v>2932</v>
      </c>
      <c r="H513" t="s">
        <v>18</v>
      </c>
      <c r="I513" t="s">
        <v>1025</v>
      </c>
    </row>
    <row r="514" spans="1:9" ht="11.25" customHeight="1">
      <c r="A514" t="s">
        <v>2160</v>
      </c>
      <c r="B514" t="s">
        <v>14</v>
      </c>
      <c r="C514" t="s">
        <v>2933</v>
      </c>
      <c r="D514" t="s">
        <v>2934</v>
      </c>
      <c r="E514" t="s">
        <v>2935</v>
      </c>
      <c r="F514" t="s">
        <v>2246</v>
      </c>
      <c r="G514" t="s">
        <v>18</v>
      </c>
      <c r="H514" t="s">
        <v>18</v>
      </c>
      <c r="I514" t="s">
        <v>1025</v>
      </c>
    </row>
    <row r="515" spans="1:9" ht="11.25" customHeight="1">
      <c r="A515" t="s">
        <v>2160</v>
      </c>
      <c r="B515" t="s">
        <v>14</v>
      </c>
      <c r="C515" t="s">
        <v>2331</v>
      </c>
      <c r="D515" t="s">
        <v>2332</v>
      </c>
      <c r="E515" t="s">
        <v>2333</v>
      </c>
      <c r="F515" t="s">
        <v>2334</v>
      </c>
      <c r="G515" t="s">
        <v>2335</v>
      </c>
      <c r="H515" t="s">
        <v>18</v>
      </c>
      <c r="I515" t="s">
        <v>1025</v>
      </c>
    </row>
    <row r="516" spans="1:9" ht="11.25" customHeight="1">
      <c r="A516" t="s">
        <v>2160</v>
      </c>
      <c r="B516" t="s">
        <v>14</v>
      </c>
      <c r="C516" t="s">
        <v>2936</v>
      </c>
      <c r="D516" t="s">
        <v>2937</v>
      </c>
      <c r="E516" t="s">
        <v>2938</v>
      </c>
      <c r="F516" t="s">
        <v>2218</v>
      </c>
      <c r="G516" t="s">
        <v>18</v>
      </c>
      <c r="H516" t="s">
        <v>18</v>
      </c>
      <c r="I516" t="s">
        <v>1025</v>
      </c>
    </row>
    <row r="517" spans="1:9" ht="11.25" customHeight="1">
      <c r="A517" t="s">
        <v>2160</v>
      </c>
      <c r="B517" t="s">
        <v>14</v>
      </c>
      <c r="C517" t="s">
        <v>2357</v>
      </c>
      <c r="D517" t="s">
        <v>2358</v>
      </c>
      <c r="E517" t="s">
        <v>2359</v>
      </c>
      <c r="F517" t="s">
        <v>2176</v>
      </c>
      <c r="G517" t="s">
        <v>2360</v>
      </c>
      <c r="H517" t="s">
        <v>18</v>
      </c>
      <c r="I517" t="s">
        <v>1025</v>
      </c>
    </row>
    <row r="518" spans="1:9" ht="11.25" customHeight="1">
      <c r="A518" t="s">
        <v>2160</v>
      </c>
      <c r="B518" t="s">
        <v>14</v>
      </c>
      <c r="C518" t="s">
        <v>2939</v>
      </c>
      <c r="D518" t="s">
        <v>2940</v>
      </c>
      <c r="E518" t="s">
        <v>2941</v>
      </c>
      <c r="F518" t="s">
        <v>2312</v>
      </c>
      <c r="G518" t="s">
        <v>18</v>
      </c>
      <c r="H518" t="s">
        <v>18</v>
      </c>
      <c r="I518" t="s">
        <v>1025</v>
      </c>
    </row>
    <row r="519" spans="1:9" ht="11.25" customHeight="1">
      <c r="A519" t="s">
        <v>2160</v>
      </c>
      <c r="B519" t="s">
        <v>14</v>
      </c>
      <c r="C519" t="s">
        <v>2375</v>
      </c>
      <c r="D519" t="s">
        <v>2376</v>
      </c>
      <c r="E519" t="s">
        <v>2377</v>
      </c>
      <c r="F519" t="s">
        <v>2378</v>
      </c>
      <c r="G519" t="s">
        <v>18</v>
      </c>
      <c r="H519" t="s">
        <v>18</v>
      </c>
      <c r="I519" t="s">
        <v>1025</v>
      </c>
    </row>
    <row r="520" spans="1:9" ht="11.25" customHeight="1">
      <c r="A520" t="s">
        <v>2160</v>
      </c>
      <c r="B520" t="s">
        <v>14</v>
      </c>
      <c r="C520" t="s">
        <v>2394</v>
      </c>
      <c r="D520" t="s">
        <v>2395</v>
      </c>
      <c r="E520" t="s">
        <v>2396</v>
      </c>
      <c r="F520" t="s">
        <v>2168</v>
      </c>
      <c r="G520" t="s">
        <v>2389</v>
      </c>
      <c r="H520" t="s">
        <v>18</v>
      </c>
      <c r="I520" t="s">
        <v>1025</v>
      </c>
    </row>
    <row r="521" spans="1:9" ht="11.25" customHeight="1">
      <c r="A521" t="s">
        <v>2160</v>
      </c>
      <c r="B521" t="s">
        <v>14</v>
      </c>
      <c r="C521" t="s">
        <v>2407</v>
      </c>
      <c r="D521" t="s">
        <v>2408</v>
      </c>
      <c r="E521" t="s">
        <v>2409</v>
      </c>
      <c r="F521" t="s">
        <v>2168</v>
      </c>
      <c r="G521" t="s">
        <v>2410</v>
      </c>
      <c r="H521" t="s">
        <v>18</v>
      </c>
      <c r="I521" t="s">
        <v>1025</v>
      </c>
    </row>
    <row r="522" spans="1:9" ht="11.25" customHeight="1">
      <c r="A522" t="s">
        <v>2160</v>
      </c>
      <c r="B522" t="s">
        <v>14</v>
      </c>
      <c r="C522" t="s">
        <v>2942</v>
      </c>
      <c r="D522" t="s">
        <v>2943</v>
      </c>
      <c r="E522" t="s">
        <v>2944</v>
      </c>
      <c r="F522" t="s">
        <v>2356</v>
      </c>
      <c r="G522" t="s">
        <v>18</v>
      </c>
      <c r="H522" t="s">
        <v>2945</v>
      </c>
      <c r="I522" t="s">
        <v>1025</v>
      </c>
    </row>
    <row r="523" spans="1:9" ht="11.25" customHeight="1">
      <c r="A523" t="s">
        <v>2160</v>
      </c>
      <c r="B523" t="s">
        <v>14</v>
      </c>
      <c r="C523" t="s">
        <v>2946</v>
      </c>
      <c r="D523" t="s">
        <v>2947</v>
      </c>
      <c r="E523" t="s">
        <v>2948</v>
      </c>
      <c r="F523" t="s">
        <v>2356</v>
      </c>
      <c r="G523" t="s">
        <v>2949</v>
      </c>
      <c r="H523" t="s">
        <v>18</v>
      </c>
      <c r="I523" t="s">
        <v>1025</v>
      </c>
    </row>
    <row r="524" spans="1:9" ht="11.25" customHeight="1">
      <c r="A524" t="s">
        <v>2160</v>
      </c>
      <c r="B524" t="s">
        <v>14</v>
      </c>
      <c r="C524" t="s">
        <v>2950</v>
      </c>
      <c r="D524" t="s">
        <v>2951</v>
      </c>
      <c r="E524" t="s">
        <v>2952</v>
      </c>
      <c r="F524" t="s">
        <v>2266</v>
      </c>
      <c r="G524" t="s">
        <v>18</v>
      </c>
      <c r="H524" t="s">
        <v>18</v>
      </c>
      <c r="I524" t="s">
        <v>1025</v>
      </c>
    </row>
    <row r="525" spans="1:9" ht="11.25" customHeight="1">
      <c r="A525" t="s">
        <v>2160</v>
      </c>
      <c r="B525" t="s">
        <v>14</v>
      </c>
      <c r="C525" t="s">
        <v>2953</v>
      </c>
      <c r="D525" t="s">
        <v>2954</v>
      </c>
      <c r="E525" t="s">
        <v>2955</v>
      </c>
      <c r="F525" t="s">
        <v>2364</v>
      </c>
      <c r="G525" t="s">
        <v>18</v>
      </c>
      <c r="H525" t="s">
        <v>18</v>
      </c>
      <c r="I525" t="s">
        <v>1025</v>
      </c>
    </row>
    <row r="526" spans="1:9" ht="11.25" customHeight="1">
      <c r="A526" t="s">
        <v>2160</v>
      </c>
      <c r="B526" t="s">
        <v>14</v>
      </c>
      <c r="C526" t="s">
        <v>2524</v>
      </c>
      <c r="D526" t="s">
        <v>2525</v>
      </c>
      <c r="E526" t="s">
        <v>2526</v>
      </c>
      <c r="F526" t="s">
        <v>2176</v>
      </c>
      <c r="G526" t="s">
        <v>18</v>
      </c>
      <c r="H526" t="s">
        <v>18</v>
      </c>
      <c r="I526" t="s">
        <v>1025</v>
      </c>
    </row>
    <row r="527" spans="1:9" ht="11.25" customHeight="1">
      <c r="A527" t="s">
        <v>2160</v>
      </c>
      <c r="B527" t="s">
        <v>14</v>
      </c>
      <c r="C527" t="s">
        <v>2956</v>
      </c>
      <c r="D527" t="s">
        <v>2957</v>
      </c>
      <c r="E527" t="s">
        <v>2958</v>
      </c>
      <c r="F527" t="s">
        <v>2959</v>
      </c>
      <c r="G527" t="s">
        <v>18</v>
      </c>
      <c r="H527" t="s">
        <v>18</v>
      </c>
      <c r="I527" t="s">
        <v>1025</v>
      </c>
    </row>
    <row r="528" spans="1:9" ht="11.25" customHeight="1">
      <c r="A528" t="s">
        <v>2160</v>
      </c>
      <c r="B528" t="s">
        <v>14</v>
      </c>
      <c r="C528" t="s">
        <v>2574</v>
      </c>
      <c r="D528" t="s">
        <v>2575</v>
      </c>
      <c r="E528" t="s">
        <v>2576</v>
      </c>
      <c r="F528" t="s">
        <v>2414</v>
      </c>
      <c r="G528" t="s">
        <v>18</v>
      </c>
      <c r="H528" t="s">
        <v>18</v>
      </c>
      <c r="I528" t="s">
        <v>1025</v>
      </c>
    </row>
    <row r="529" spans="1:9" ht="11.25" customHeight="1">
      <c r="A529" t="s">
        <v>2160</v>
      </c>
      <c r="B529" t="s">
        <v>14</v>
      </c>
      <c r="C529" t="s">
        <v>2960</v>
      </c>
      <c r="D529" t="s">
        <v>2961</v>
      </c>
      <c r="E529" t="s">
        <v>2962</v>
      </c>
      <c r="F529" t="s">
        <v>2238</v>
      </c>
      <c r="G529" t="s">
        <v>18</v>
      </c>
      <c r="H529" t="s">
        <v>18</v>
      </c>
      <c r="I529" t="s">
        <v>1025</v>
      </c>
    </row>
    <row r="530" spans="1:9" ht="11.25" customHeight="1">
      <c r="A530" t="s">
        <v>2160</v>
      </c>
      <c r="B530" t="s">
        <v>14</v>
      </c>
      <c r="C530" t="s">
        <v>2963</v>
      </c>
      <c r="D530" t="s">
        <v>2964</v>
      </c>
      <c r="E530" t="s">
        <v>2965</v>
      </c>
      <c r="F530" t="s">
        <v>2218</v>
      </c>
      <c r="G530" t="s">
        <v>2966</v>
      </c>
      <c r="H530" t="s">
        <v>18</v>
      </c>
      <c r="I530" t="s">
        <v>1025</v>
      </c>
    </row>
    <row r="531" spans="1:9" ht="11.25" customHeight="1">
      <c r="A531" t="s">
        <v>2160</v>
      </c>
      <c r="B531" t="s">
        <v>14</v>
      </c>
      <c r="C531" t="s">
        <v>2967</v>
      </c>
      <c r="D531" t="s">
        <v>2968</v>
      </c>
      <c r="E531" t="s">
        <v>2969</v>
      </c>
      <c r="F531" t="s">
        <v>2246</v>
      </c>
      <c r="G531" t="s">
        <v>18</v>
      </c>
      <c r="H531" t="s">
        <v>18</v>
      </c>
      <c r="I531" t="s">
        <v>1025</v>
      </c>
    </row>
    <row r="532" spans="1:9" ht="11.25" customHeight="1">
      <c r="A532" t="s">
        <v>2160</v>
      </c>
      <c r="B532" t="s">
        <v>14</v>
      </c>
      <c r="C532" t="s">
        <v>2970</v>
      </c>
      <c r="D532" t="s">
        <v>2971</v>
      </c>
      <c r="E532" t="s">
        <v>2972</v>
      </c>
      <c r="F532" t="s">
        <v>2251</v>
      </c>
      <c r="G532" t="s">
        <v>2973</v>
      </c>
      <c r="H532" t="s">
        <v>18</v>
      </c>
      <c r="I532" t="s">
        <v>1025</v>
      </c>
    </row>
    <row r="533" spans="1:9" ht="11.25" customHeight="1">
      <c r="A533" t="s">
        <v>2160</v>
      </c>
      <c r="B533" t="s">
        <v>14</v>
      </c>
      <c r="C533" t="s">
        <v>2974</v>
      </c>
      <c r="D533" t="s">
        <v>2975</v>
      </c>
      <c r="E533" t="s">
        <v>2976</v>
      </c>
      <c r="F533" t="s">
        <v>2218</v>
      </c>
      <c r="G533" t="s">
        <v>2966</v>
      </c>
      <c r="H533" t="s">
        <v>18</v>
      </c>
      <c r="I533" t="s">
        <v>1025</v>
      </c>
    </row>
    <row r="534" spans="1:9" ht="11.25" customHeight="1">
      <c r="A534" t="s">
        <v>2160</v>
      </c>
      <c r="B534" t="s">
        <v>14</v>
      </c>
      <c r="C534" t="s">
        <v>2977</v>
      </c>
      <c r="D534" t="s">
        <v>2978</v>
      </c>
      <c r="E534" t="s">
        <v>2979</v>
      </c>
      <c r="F534" t="s">
        <v>2980</v>
      </c>
      <c r="G534" t="s">
        <v>2981</v>
      </c>
      <c r="H534" t="s">
        <v>18</v>
      </c>
      <c r="I534" t="s">
        <v>1025</v>
      </c>
    </row>
    <row r="535" spans="1:9" ht="11.25" customHeight="1">
      <c r="A535" t="s">
        <v>2160</v>
      </c>
      <c r="B535" t="s">
        <v>14</v>
      </c>
      <c r="C535" t="s">
        <v>2982</v>
      </c>
      <c r="D535" t="s">
        <v>2983</v>
      </c>
      <c r="E535" t="s">
        <v>2984</v>
      </c>
      <c r="F535" t="s">
        <v>2176</v>
      </c>
      <c r="G535" t="s">
        <v>2985</v>
      </c>
      <c r="H535" t="s">
        <v>18</v>
      </c>
      <c r="I535" t="s">
        <v>1025</v>
      </c>
    </row>
    <row r="536" spans="1:9" ht="11.25" customHeight="1">
      <c r="A536" t="s">
        <v>2160</v>
      </c>
      <c r="B536" t="s">
        <v>14</v>
      </c>
      <c r="C536" t="s">
        <v>2986</v>
      </c>
      <c r="D536" t="s">
        <v>2987</v>
      </c>
      <c r="E536" t="s">
        <v>2988</v>
      </c>
      <c r="F536" t="s">
        <v>2196</v>
      </c>
      <c r="G536" t="s">
        <v>2989</v>
      </c>
      <c r="H536" t="s">
        <v>18</v>
      </c>
      <c r="I536" t="s">
        <v>1025</v>
      </c>
    </row>
    <row r="537" spans="1:9" ht="11.25" customHeight="1">
      <c r="A537" t="s">
        <v>2160</v>
      </c>
      <c r="B537" t="s">
        <v>14</v>
      </c>
      <c r="C537" t="s">
        <v>2990</v>
      </c>
      <c r="D537" t="s">
        <v>2991</v>
      </c>
      <c r="E537" t="s">
        <v>2992</v>
      </c>
      <c r="F537" t="s">
        <v>2246</v>
      </c>
      <c r="G537" t="s">
        <v>18</v>
      </c>
      <c r="H537" t="s">
        <v>18</v>
      </c>
      <c r="I537" t="s">
        <v>1025</v>
      </c>
    </row>
    <row r="538" spans="1:9" ht="11.25" customHeight="1">
      <c r="A538" t="s">
        <v>2160</v>
      </c>
      <c r="B538" t="s">
        <v>14</v>
      </c>
      <c r="C538" t="s">
        <v>2993</v>
      </c>
      <c r="D538" t="s">
        <v>2994</v>
      </c>
      <c r="E538" t="s">
        <v>2995</v>
      </c>
      <c r="F538" t="s">
        <v>2246</v>
      </c>
      <c r="G538" t="s">
        <v>18</v>
      </c>
      <c r="H538" t="s">
        <v>18</v>
      </c>
      <c r="I538" t="s">
        <v>1025</v>
      </c>
    </row>
    <row r="539" spans="1:9" ht="11.25" customHeight="1">
      <c r="A539" t="s">
        <v>2160</v>
      </c>
      <c r="B539" t="s">
        <v>14</v>
      </c>
      <c r="C539" t="s">
        <v>2996</v>
      </c>
      <c r="D539" t="s">
        <v>2997</v>
      </c>
      <c r="E539" t="s">
        <v>2998</v>
      </c>
      <c r="F539" t="s">
        <v>2176</v>
      </c>
      <c r="G539" t="s">
        <v>18</v>
      </c>
      <c r="H539" t="s">
        <v>18</v>
      </c>
      <c r="I539" t="s">
        <v>1025</v>
      </c>
    </row>
    <row r="540" spans="1:9" ht="11.25" customHeight="1">
      <c r="A540" t="s">
        <v>2160</v>
      </c>
      <c r="B540" t="s">
        <v>14</v>
      </c>
      <c r="C540" t="s">
        <v>2999</v>
      </c>
      <c r="D540" t="s">
        <v>3000</v>
      </c>
      <c r="E540" t="s">
        <v>3001</v>
      </c>
      <c r="F540" t="s">
        <v>2196</v>
      </c>
      <c r="G540" t="s">
        <v>3002</v>
      </c>
      <c r="H540" t="s">
        <v>18</v>
      </c>
      <c r="I540" t="s">
        <v>1025</v>
      </c>
    </row>
    <row r="541" spans="1:9" ht="11.25" customHeight="1">
      <c r="A541" t="s">
        <v>2160</v>
      </c>
      <c r="B541" t="s">
        <v>14</v>
      </c>
      <c r="C541" t="s">
        <v>3003</v>
      </c>
      <c r="D541" t="s">
        <v>3004</v>
      </c>
      <c r="E541" t="s">
        <v>3005</v>
      </c>
      <c r="F541" t="s">
        <v>2371</v>
      </c>
      <c r="G541" t="s">
        <v>3006</v>
      </c>
      <c r="H541" t="s">
        <v>18</v>
      </c>
      <c r="I541" t="s">
        <v>1025</v>
      </c>
    </row>
    <row r="542" spans="1:9" ht="11.25" customHeight="1">
      <c r="A542" t="s">
        <v>2160</v>
      </c>
      <c r="B542" t="s">
        <v>14</v>
      </c>
      <c r="C542" t="s">
        <v>3007</v>
      </c>
      <c r="D542" t="s">
        <v>3008</v>
      </c>
      <c r="E542" t="s">
        <v>3009</v>
      </c>
      <c r="F542" t="s">
        <v>2312</v>
      </c>
      <c r="G542" t="s">
        <v>3010</v>
      </c>
      <c r="H542" t="s">
        <v>18</v>
      </c>
      <c r="I542" t="s">
        <v>1025</v>
      </c>
    </row>
    <row r="543" spans="1:9" ht="11.25" customHeight="1">
      <c r="A543" t="s">
        <v>2160</v>
      </c>
      <c r="B543" t="s">
        <v>14</v>
      </c>
      <c r="C543" t="s">
        <v>3011</v>
      </c>
      <c r="D543" t="s">
        <v>3012</v>
      </c>
      <c r="E543" t="s">
        <v>3013</v>
      </c>
      <c r="F543" t="s">
        <v>2246</v>
      </c>
      <c r="G543" t="s">
        <v>18</v>
      </c>
      <c r="H543" t="s">
        <v>18</v>
      </c>
      <c r="I543" t="s">
        <v>1025</v>
      </c>
    </row>
    <row r="544" spans="1:9" ht="11.25" customHeight="1">
      <c r="A544" t="s">
        <v>2160</v>
      </c>
      <c r="B544" t="s">
        <v>14</v>
      </c>
      <c r="C544" t="s">
        <v>3014</v>
      </c>
      <c r="D544" t="s">
        <v>3015</v>
      </c>
      <c r="E544" t="s">
        <v>3016</v>
      </c>
      <c r="F544" t="s">
        <v>2378</v>
      </c>
      <c r="G544" t="s">
        <v>18</v>
      </c>
      <c r="H544" t="s">
        <v>18</v>
      </c>
      <c r="I544" t="s">
        <v>1025</v>
      </c>
    </row>
    <row r="545" spans="1:9" ht="11.25" customHeight="1">
      <c r="A545" t="s">
        <v>2160</v>
      </c>
      <c r="B545" t="s">
        <v>14</v>
      </c>
      <c r="C545" t="s">
        <v>3017</v>
      </c>
      <c r="D545" t="s">
        <v>3018</v>
      </c>
      <c r="E545" t="s">
        <v>3019</v>
      </c>
      <c r="F545" t="s">
        <v>2196</v>
      </c>
      <c r="G545" t="s">
        <v>18</v>
      </c>
      <c r="H545" t="s">
        <v>18</v>
      </c>
      <c r="I545" t="s">
        <v>1025</v>
      </c>
    </row>
    <row r="546" spans="1:9" ht="11.25" customHeight="1">
      <c r="A546" t="s">
        <v>2160</v>
      </c>
      <c r="B546" t="s">
        <v>14</v>
      </c>
      <c r="C546" t="s">
        <v>3020</v>
      </c>
      <c r="D546" t="s">
        <v>3021</v>
      </c>
      <c r="E546" t="s">
        <v>3022</v>
      </c>
      <c r="F546" t="s">
        <v>2385</v>
      </c>
      <c r="G546" t="s">
        <v>3023</v>
      </c>
      <c r="H546" t="s">
        <v>18</v>
      </c>
      <c r="I546" t="s">
        <v>1025</v>
      </c>
    </row>
    <row r="547" spans="1:9" ht="11.25" customHeight="1">
      <c r="A547" t="s">
        <v>2160</v>
      </c>
      <c r="B547" t="s">
        <v>14</v>
      </c>
      <c r="C547" t="s">
        <v>3024</v>
      </c>
      <c r="D547" t="s">
        <v>3025</v>
      </c>
      <c r="E547" t="s">
        <v>3026</v>
      </c>
      <c r="F547" t="s">
        <v>2385</v>
      </c>
      <c r="G547" t="s">
        <v>18</v>
      </c>
      <c r="H547" t="s">
        <v>18</v>
      </c>
      <c r="I547" t="s">
        <v>1025</v>
      </c>
    </row>
    <row r="548" spans="1:9" ht="11.25" customHeight="1">
      <c r="A548" t="s">
        <v>2160</v>
      </c>
      <c r="B548" t="s">
        <v>14</v>
      </c>
      <c r="C548" t="s">
        <v>3027</v>
      </c>
      <c r="D548" t="s">
        <v>3028</v>
      </c>
      <c r="E548" t="s">
        <v>3029</v>
      </c>
      <c r="F548" t="s">
        <v>2234</v>
      </c>
      <c r="G548" t="s">
        <v>18</v>
      </c>
      <c r="H548" t="s">
        <v>18</v>
      </c>
      <c r="I548" t="s">
        <v>1025</v>
      </c>
    </row>
    <row r="549" spans="1:9" ht="11.25" customHeight="1">
      <c r="A549" t="s">
        <v>2160</v>
      </c>
      <c r="B549" t="s">
        <v>14</v>
      </c>
      <c r="C549" t="s">
        <v>2754</v>
      </c>
      <c r="D549" t="s">
        <v>2755</v>
      </c>
      <c r="E549" t="s">
        <v>2756</v>
      </c>
      <c r="F549" t="s">
        <v>2168</v>
      </c>
      <c r="G549" t="s">
        <v>18</v>
      </c>
      <c r="H549" t="s">
        <v>18</v>
      </c>
      <c r="I549" t="s">
        <v>1025</v>
      </c>
    </row>
    <row r="550" spans="1:9" ht="11.25" customHeight="1">
      <c r="A550" t="s">
        <v>2160</v>
      </c>
      <c r="B550" t="s">
        <v>14</v>
      </c>
      <c r="C550" t="s">
        <v>3030</v>
      </c>
      <c r="D550" t="s">
        <v>3031</v>
      </c>
      <c r="E550" t="s">
        <v>3032</v>
      </c>
      <c r="F550" t="s">
        <v>2196</v>
      </c>
      <c r="G550" t="s">
        <v>3033</v>
      </c>
      <c r="H550" t="s">
        <v>18</v>
      </c>
      <c r="I550" t="s">
        <v>1025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3763-D0CB-9C4A-8E49-778F46CA6632}">
  <sheetPr>
    <tabColor rgb="FFFFCC99"/>
  </sheetPr>
  <dimension ref="A1:G106"/>
  <sheetViews>
    <sheetView showGridLines="0" workbookViewId="0"/>
  </sheetViews>
  <sheetFormatPr defaultRowHeight="11.25" customHeight="1"/>
  <sheetData>
    <row r="1" spans="1:7" ht="11.25" customHeight="1">
      <c r="A1" t="s">
        <v>3034</v>
      </c>
      <c r="B1" t="s">
        <v>3035</v>
      </c>
      <c r="C1" t="s">
        <v>3036</v>
      </c>
      <c r="D1" t="s">
        <v>3037</v>
      </c>
      <c r="E1" t="s">
        <v>3038</v>
      </c>
      <c r="F1" t="s">
        <v>3039</v>
      </c>
      <c r="G1" t="s">
        <v>3040</v>
      </c>
    </row>
    <row r="2" spans="1:7" ht="11.25" customHeight="1">
      <c r="A2" t="s">
        <v>14</v>
      </c>
      <c r="B2" t="s">
        <v>3041</v>
      </c>
      <c r="C2" t="s">
        <v>3042</v>
      </c>
      <c r="D2" t="s">
        <v>3043</v>
      </c>
      <c r="E2" t="s">
        <v>3044</v>
      </c>
      <c r="F2" t="s">
        <v>3045</v>
      </c>
      <c r="G2" t="s">
        <v>119</v>
      </c>
    </row>
    <row r="3" spans="1:7" ht="11.25" customHeight="1">
      <c r="A3" t="s">
        <v>14</v>
      </c>
      <c r="B3" t="s">
        <v>3041</v>
      </c>
      <c r="C3" t="s">
        <v>3042</v>
      </c>
      <c r="D3" t="s">
        <v>3041</v>
      </c>
      <c r="E3" t="s">
        <v>3042</v>
      </c>
      <c r="F3" t="s">
        <v>3046</v>
      </c>
      <c r="G3" t="s">
        <v>103</v>
      </c>
    </row>
    <row r="4" spans="1:7" ht="11.25" customHeight="1">
      <c r="A4" t="s">
        <v>14</v>
      </c>
      <c r="B4" t="s">
        <v>3041</v>
      </c>
      <c r="C4" t="s">
        <v>3042</v>
      </c>
      <c r="D4" t="s">
        <v>3047</v>
      </c>
      <c r="E4" t="s">
        <v>3048</v>
      </c>
      <c r="F4" t="s">
        <v>3049</v>
      </c>
      <c r="G4" t="s">
        <v>90</v>
      </c>
    </row>
    <row r="5" spans="1:7" ht="11.25" customHeight="1">
      <c r="A5" t="s">
        <v>14</v>
      </c>
      <c r="B5" t="s">
        <v>3041</v>
      </c>
      <c r="C5" t="s">
        <v>3042</v>
      </c>
      <c r="D5" t="s">
        <v>3050</v>
      </c>
      <c r="E5" t="s">
        <v>3051</v>
      </c>
      <c r="F5" t="s">
        <v>3049</v>
      </c>
      <c r="G5" t="s">
        <v>91</v>
      </c>
    </row>
    <row r="6" spans="1:7" ht="11.25" customHeight="1">
      <c r="A6" t="s">
        <v>14</v>
      </c>
      <c r="B6" t="s">
        <v>3041</v>
      </c>
      <c r="C6" t="s">
        <v>3042</v>
      </c>
      <c r="D6" t="s">
        <v>3052</v>
      </c>
      <c r="E6" t="s">
        <v>3053</v>
      </c>
      <c r="F6" t="s">
        <v>3049</v>
      </c>
      <c r="G6" t="s">
        <v>120</v>
      </c>
    </row>
    <row r="7" spans="1:7" ht="11.25" customHeight="1">
      <c r="A7" t="s">
        <v>14</v>
      </c>
      <c r="B7" t="s">
        <v>3041</v>
      </c>
      <c r="C7" t="s">
        <v>3042</v>
      </c>
      <c r="D7" t="s">
        <v>3054</v>
      </c>
      <c r="E7" t="s">
        <v>3055</v>
      </c>
      <c r="F7" t="s">
        <v>3049</v>
      </c>
      <c r="G7" t="s">
        <v>92</v>
      </c>
    </row>
    <row r="8" spans="1:7" ht="11.25" customHeight="1">
      <c r="A8" t="s">
        <v>14</v>
      </c>
      <c r="B8" t="s">
        <v>3041</v>
      </c>
      <c r="C8" t="s">
        <v>3042</v>
      </c>
      <c r="D8" t="s">
        <v>3056</v>
      </c>
      <c r="E8" t="s">
        <v>3057</v>
      </c>
      <c r="F8" t="s">
        <v>3049</v>
      </c>
      <c r="G8" t="s">
        <v>93</v>
      </c>
    </row>
    <row r="9" spans="1:7" ht="11.25" customHeight="1">
      <c r="A9" t="s">
        <v>14</v>
      </c>
      <c r="B9" t="s">
        <v>3041</v>
      </c>
      <c r="C9" t="s">
        <v>3042</v>
      </c>
      <c r="D9" t="s">
        <v>3058</v>
      </c>
      <c r="E9" t="s">
        <v>3059</v>
      </c>
      <c r="F9" t="s">
        <v>3049</v>
      </c>
      <c r="G9" t="s">
        <v>121</v>
      </c>
    </row>
    <row r="10" spans="1:7" ht="11.25" customHeight="1">
      <c r="A10" t="s">
        <v>14</v>
      </c>
      <c r="B10" t="s">
        <v>3060</v>
      </c>
      <c r="C10" t="s">
        <v>3061</v>
      </c>
      <c r="D10" t="s">
        <v>3060</v>
      </c>
      <c r="E10" t="s">
        <v>3061</v>
      </c>
      <c r="F10" t="s">
        <v>3046</v>
      </c>
      <c r="G10" t="s">
        <v>164</v>
      </c>
    </row>
    <row r="11" spans="1:7" ht="11.25" customHeight="1">
      <c r="A11" t="s">
        <v>14</v>
      </c>
      <c r="B11" t="s">
        <v>3060</v>
      </c>
      <c r="C11" t="s">
        <v>3061</v>
      </c>
      <c r="D11" t="s">
        <v>3062</v>
      </c>
      <c r="E11" t="s">
        <v>3063</v>
      </c>
      <c r="F11" t="s">
        <v>3045</v>
      </c>
      <c r="G11" t="s">
        <v>165</v>
      </c>
    </row>
    <row r="12" spans="1:7" ht="11.25" customHeight="1">
      <c r="A12" t="s">
        <v>14</v>
      </c>
      <c r="B12" t="s">
        <v>3060</v>
      </c>
      <c r="C12" t="s">
        <v>3061</v>
      </c>
      <c r="D12" t="s">
        <v>3064</v>
      </c>
      <c r="E12" t="s">
        <v>3065</v>
      </c>
      <c r="F12" t="s">
        <v>3045</v>
      </c>
      <c r="G12" t="s">
        <v>166</v>
      </c>
    </row>
    <row r="13" spans="1:7" ht="11.25" customHeight="1">
      <c r="A13" t="s">
        <v>14</v>
      </c>
      <c r="B13" t="s">
        <v>3060</v>
      </c>
      <c r="C13" t="s">
        <v>3061</v>
      </c>
      <c r="D13" t="s">
        <v>3066</v>
      </c>
      <c r="E13" t="s">
        <v>3067</v>
      </c>
      <c r="F13" t="s">
        <v>3049</v>
      </c>
      <c r="G13" t="s">
        <v>167</v>
      </c>
    </row>
    <row r="14" spans="1:7" ht="11.25" customHeight="1">
      <c r="A14" t="s">
        <v>14</v>
      </c>
      <c r="B14" t="s">
        <v>3060</v>
      </c>
      <c r="C14" t="s">
        <v>3061</v>
      </c>
      <c r="D14" t="s">
        <v>3068</v>
      </c>
      <c r="E14" t="s">
        <v>3069</v>
      </c>
      <c r="F14" t="s">
        <v>3049</v>
      </c>
      <c r="G14" t="s">
        <v>168</v>
      </c>
    </row>
    <row r="15" spans="1:7" ht="11.25" customHeight="1">
      <c r="A15" t="s">
        <v>14</v>
      </c>
      <c r="B15" t="s">
        <v>3060</v>
      </c>
      <c r="C15" t="s">
        <v>3061</v>
      </c>
      <c r="D15" t="s">
        <v>3070</v>
      </c>
      <c r="E15" t="s">
        <v>3071</v>
      </c>
      <c r="F15" t="s">
        <v>3049</v>
      </c>
      <c r="G15" t="s">
        <v>169</v>
      </c>
    </row>
    <row r="16" spans="1:7" ht="11.25" customHeight="1">
      <c r="A16" t="s">
        <v>14</v>
      </c>
      <c r="B16" t="s">
        <v>3060</v>
      </c>
      <c r="C16" t="s">
        <v>3061</v>
      </c>
      <c r="D16" t="s">
        <v>3072</v>
      </c>
      <c r="E16" t="s">
        <v>3073</v>
      </c>
      <c r="F16" t="s">
        <v>3049</v>
      </c>
      <c r="G16" t="s">
        <v>867</v>
      </c>
    </row>
    <row r="17" spans="1:7" ht="11.25" customHeight="1">
      <c r="A17" t="s">
        <v>14</v>
      </c>
      <c r="B17" t="s">
        <v>100</v>
      </c>
      <c r="C17" t="s">
        <v>101</v>
      </c>
      <c r="D17" t="s">
        <v>100</v>
      </c>
      <c r="E17" t="s">
        <v>101</v>
      </c>
      <c r="F17" t="s">
        <v>3074</v>
      </c>
      <c r="G17" t="s">
        <v>99</v>
      </c>
    </row>
    <row r="18" spans="1:7" ht="11.25" customHeight="1">
      <c r="A18" t="s">
        <v>14</v>
      </c>
      <c r="B18" t="s">
        <v>3075</v>
      </c>
      <c r="C18" t="s">
        <v>3076</v>
      </c>
      <c r="D18" t="s">
        <v>3077</v>
      </c>
      <c r="E18" t="s">
        <v>3078</v>
      </c>
      <c r="F18" t="s">
        <v>3049</v>
      </c>
      <c r="G18" t="s">
        <v>883</v>
      </c>
    </row>
    <row r="19" spans="1:7" ht="11.25" customHeight="1">
      <c r="A19" t="s">
        <v>14</v>
      </c>
      <c r="B19" t="s">
        <v>3075</v>
      </c>
      <c r="C19" t="s">
        <v>3076</v>
      </c>
      <c r="D19" t="s">
        <v>3075</v>
      </c>
      <c r="E19" t="s">
        <v>3076</v>
      </c>
      <c r="F19" t="s">
        <v>3046</v>
      </c>
      <c r="G19" t="s">
        <v>897</v>
      </c>
    </row>
    <row r="20" spans="1:7" ht="11.25" customHeight="1">
      <c r="A20" t="s">
        <v>14</v>
      </c>
      <c r="B20" t="s">
        <v>3075</v>
      </c>
      <c r="C20" t="s">
        <v>3076</v>
      </c>
      <c r="D20" t="s">
        <v>3079</v>
      </c>
      <c r="E20" t="s">
        <v>3080</v>
      </c>
      <c r="F20" t="s">
        <v>3045</v>
      </c>
      <c r="G20" t="s">
        <v>909</v>
      </c>
    </row>
    <row r="21" spans="1:7" ht="11.25" customHeight="1">
      <c r="A21" t="s">
        <v>14</v>
      </c>
      <c r="B21" t="s">
        <v>3075</v>
      </c>
      <c r="C21" t="s">
        <v>3076</v>
      </c>
      <c r="D21" t="s">
        <v>3081</v>
      </c>
      <c r="E21" t="s">
        <v>3082</v>
      </c>
      <c r="F21" t="s">
        <v>3045</v>
      </c>
      <c r="G21" t="s">
        <v>918</v>
      </c>
    </row>
    <row r="22" spans="1:7" ht="11.25" customHeight="1">
      <c r="A22" t="s">
        <v>14</v>
      </c>
      <c r="B22" t="s">
        <v>3075</v>
      </c>
      <c r="C22" t="s">
        <v>3076</v>
      </c>
      <c r="D22" t="s">
        <v>3083</v>
      </c>
      <c r="E22" t="s">
        <v>3084</v>
      </c>
      <c r="F22" t="s">
        <v>3049</v>
      </c>
      <c r="G22" t="s">
        <v>934</v>
      </c>
    </row>
    <row r="23" spans="1:7" ht="11.25" customHeight="1">
      <c r="A23" t="s">
        <v>14</v>
      </c>
      <c r="B23" t="s">
        <v>3075</v>
      </c>
      <c r="C23" t="s">
        <v>3076</v>
      </c>
      <c r="D23" t="s">
        <v>3085</v>
      </c>
      <c r="E23" t="s">
        <v>3086</v>
      </c>
      <c r="F23" t="s">
        <v>3045</v>
      </c>
      <c r="G23" t="s">
        <v>941</v>
      </c>
    </row>
    <row r="24" spans="1:7" ht="11.25" customHeight="1">
      <c r="A24" t="s">
        <v>14</v>
      </c>
      <c r="B24" t="s">
        <v>3075</v>
      </c>
      <c r="C24" t="s">
        <v>3076</v>
      </c>
      <c r="D24" t="s">
        <v>3087</v>
      </c>
      <c r="E24" t="s">
        <v>3088</v>
      </c>
      <c r="F24" t="s">
        <v>3045</v>
      </c>
      <c r="G24" t="s">
        <v>949</v>
      </c>
    </row>
    <row r="25" spans="1:7" ht="11.25" customHeight="1">
      <c r="A25" t="s">
        <v>14</v>
      </c>
      <c r="B25" t="s">
        <v>3075</v>
      </c>
      <c r="C25" t="s">
        <v>3076</v>
      </c>
      <c r="D25" t="s">
        <v>3089</v>
      </c>
      <c r="E25" t="s">
        <v>3090</v>
      </c>
      <c r="F25" t="s">
        <v>3045</v>
      </c>
      <c r="G25" t="s">
        <v>956</v>
      </c>
    </row>
    <row r="26" spans="1:7" ht="11.25" customHeight="1">
      <c r="A26" t="s">
        <v>14</v>
      </c>
      <c r="B26" t="s">
        <v>3075</v>
      </c>
      <c r="C26" t="s">
        <v>3076</v>
      </c>
      <c r="D26" t="s">
        <v>3091</v>
      </c>
      <c r="E26" t="s">
        <v>3092</v>
      </c>
      <c r="F26" t="s">
        <v>3049</v>
      </c>
      <c r="G26" t="s">
        <v>960</v>
      </c>
    </row>
    <row r="27" spans="1:7" ht="11.25" customHeight="1">
      <c r="A27" t="s">
        <v>14</v>
      </c>
      <c r="B27" t="s">
        <v>3075</v>
      </c>
      <c r="C27" t="s">
        <v>3076</v>
      </c>
      <c r="D27" t="s">
        <v>3093</v>
      </c>
      <c r="E27" t="s">
        <v>3094</v>
      </c>
      <c r="F27" t="s">
        <v>3049</v>
      </c>
      <c r="G27" t="s">
        <v>965</v>
      </c>
    </row>
    <row r="28" spans="1:7" ht="11.25" customHeight="1">
      <c r="A28" t="s">
        <v>14</v>
      </c>
      <c r="B28" t="s">
        <v>3075</v>
      </c>
      <c r="C28" t="s">
        <v>3076</v>
      </c>
      <c r="D28" t="s">
        <v>3095</v>
      </c>
      <c r="E28" t="s">
        <v>3096</v>
      </c>
      <c r="F28" t="s">
        <v>3049</v>
      </c>
      <c r="G28" t="s">
        <v>973</v>
      </c>
    </row>
    <row r="29" spans="1:7" ht="11.25" customHeight="1">
      <c r="A29" t="s">
        <v>14</v>
      </c>
      <c r="B29" t="s">
        <v>107</v>
      </c>
      <c r="C29" t="s">
        <v>108</v>
      </c>
      <c r="D29" t="s">
        <v>107</v>
      </c>
      <c r="E29" t="s">
        <v>108</v>
      </c>
      <c r="F29" t="s">
        <v>3074</v>
      </c>
      <c r="G29" t="s">
        <v>106</v>
      </c>
    </row>
    <row r="30" spans="1:7" ht="11.25" customHeight="1">
      <c r="A30" t="s">
        <v>14</v>
      </c>
      <c r="B30" t="s">
        <v>3097</v>
      </c>
      <c r="C30" t="s">
        <v>3098</v>
      </c>
      <c r="D30" t="s">
        <v>3097</v>
      </c>
      <c r="E30" t="s">
        <v>3098</v>
      </c>
      <c r="F30" t="s">
        <v>3074</v>
      </c>
      <c r="G30" t="s">
        <v>977</v>
      </c>
    </row>
    <row r="31" spans="1:7" ht="11.25" customHeight="1">
      <c r="A31" t="s">
        <v>14</v>
      </c>
      <c r="B31" t="s">
        <v>3099</v>
      </c>
      <c r="C31" t="s">
        <v>3100</v>
      </c>
      <c r="D31" t="s">
        <v>3099</v>
      </c>
      <c r="E31" t="s">
        <v>3100</v>
      </c>
      <c r="F31" t="s">
        <v>3074</v>
      </c>
      <c r="G31" t="s">
        <v>983</v>
      </c>
    </row>
    <row r="32" spans="1:7" ht="11.25" customHeight="1">
      <c r="A32" t="s">
        <v>14</v>
      </c>
      <c r="B32" t="s">
        <v>3101</v>
      </c>
      <c r="C32" t="s">
        <v>3102</v>
      </c>
      <c r="D32" t="s">
        <v>3103</v>
      </c>
      <c r="E32" t="s">
        <v>3104</v>
      </c>
      <c r="F32" t="s">
        <v>3049</v>
      </c>
      <c r="G32" t="s">
        <v>985</v>
      </c>
    </row>
    <row r="33" spans="1:7" ht="11.25" customHeight="1">
      <c r="A33" t="s">
        <v>14</v>
      </c>
      <c r="B33" t="s">
        <v>3101</v>
      </c>
      <c r="C33" t="s">
        <v>3102</v>
      </c>
      <c r="D33" t="s">
        <v>3105</v>
      </c>
      <c r="E33" t="s">
        <v>3106</v>
      </c>
      <c r="F33" t="s">
        <v>3049</v>
      </c>
      <c r="G33" t="s">
        <v>987</v>
      </c>
    </row>
    <row r="34" spans="1:7" ht="11.25" customHeight="1">
      <c r="A34" t="s">
        <v>14</v>
      </c>
      <c r="B34" t="s">
        <v>3101</v>
      </c>
      <c r="C34" t="s">
        <v>3102</v>
      </c>
      <c r="D34" t="s">
        <v>3107</v>
      </c>
      <c r="E34" t="s">
        <v>3108</v>
      </c>
      <c r="F34" t="s">
        <v>3049</v>
      </c>
      <c r="G34" t="s">
        <v>989</v>
      </c>
    </row>
    <row r="35" spans="1:7" ht="11.25" customHeight="1">
      <c r="A35" t="s">
        <v>14</v>
      </c>
      <c r="B35" t="s">
        <v>3101</v>
      </c>
      <c r="C35" t="s">
        <v>3102</v>
      </c>
      <c r="D35" t="s">
        <v>3101</v>
      </c>
      <c r="E35" t="s">
        <v>3102</v>
      </c>
      <c r="F35" t="s">
        <v>3046</v>
      </c>
      <c r="G35" t="s">
        <v>995</v>
      </c>
    </row>
    <row r="36" spans="1:7" ht="11.25" customHeight="1">
      <c r="A36" t="s">
        <v>14</v>
      </c>
      <c r="B36" t="s">
        <v>3101</v>
      </c>
      <c r="C36" t="s">
        <v>3102</v>
      </c>
      <c r="D36" t="s">
        <v>3109</v>
      </c>
      <c r="E36" t="s">
        <v>3110</v>
      </c>
      <c r="F36" t="s">
        <v>3045</v>
      </c>
      <c r="G36" t="s">
        <v>1000</v>
      </c>
    </row>
    <row r="37" spans="1:7" ht="11.25" customHeight="1">
      <c r="A37" t="s">
        <v>14</v>
      </c>
      <c r="B37" t="s">
        <v>3101</v>
      </c>
      <c r="C37" t="s">
        <v>3102</v>
      </c>
      <c r="D37" t="s">
        <v>3111</v>
      </c>
      <c r="E37" t="s">
        <v>3112</v>
      </c>
      <c r="F37" t="s">
        <v>3049</v>
      </c>
      <c r="G37" t="s">
        <v>1004</v>
      </c>
    </row>
    <row r="38" spans="1:7" ht="11.25" customHeight="1">
      <c r="A38" t="s">
        <v>14</v>
      </c>
      <c r="B38" t="s">
        <v>3101</v>
      </c>
      <c r="C38" t="s">
        <v>3102</v>
      </c>
      <c r="D38" t="s">
        <v>3113</v>
      </c>
      <c r="E38" t="s">
        <v>3114</v>
      </c>
      <c r="F38" t="s">
        <v>3049</v>
      </c>
      <c r="G38" t="s">
        <v>1012</v>
      </c>
    </row>
    <row r="39" spans="1:7" ht="11.25" customHeight="1">
      <c r="A39" t="s">
        <v>14</v>
      </c>
      <c r="B39" t="s">
        <v>3101</v>
      </c>
      <c r="C39" t="s">
        <v>3102</v>
      </c>
      <c r="D39" t="s">
        <v>3115</v>
      </c>
      <c r="E39" t="s">
        <v>3116</v>
      </c>
      <c r="F39" t="s">
        <v>3049</v>
      </c>
      <c r="G39" t="s">
        <v>1019</v>
      </c>
    </row>
    <row r="40" spans="1:7" ht="11.25" customHeight="1">
      <c r="A40" t="s">
        <v>14</v>
      </c>
      <c r="B40" t="s">
        <v>3101</v>
      </c>
      <c r="C40" t="s">
        <v>3102</v>
      </c>
      <c r="D40" t="s">
        <v>3117</v>
      </c>
      <c r="E40" t="s">
        <v>3118</v>
      </c>
      <c r="F40" t="s">
        <v>3049</v>
      </c>
      <c r="G40" t="s">
        <v>1026</v>
      </c>
    </row>
    <row r="41" spans="1:7" ht="11.25" customHeight="1">
      <c r="A41" t="s">
        <v>14</v>
      </c>
      <c r="B41" t="s">
        <v>3119</v>
      </c>
      <c r="C41" t="s">
        <v>3120</v>
      </c>
      <c r="D41" t="s">
        <v>3119</v>
      </c>
      <c r="E41" t="s">
        <v>3120</v>
      </c>
      <c r="F41" t="s">
        <v>3074</v>
      </c>
      <c r="G41" t="s">
        <v>1032</v>
      </c>
    </row>
    <row r="42" spans="1:7" ht="11.25" customHeight="1">
      <c r="A42" t="s">
        <v>14</v>
      </c>
      <c r="B42" t="s">
        <v>3121</v>
      </c>
      <c r="C42" t="s">
        <v>3122</v>
      </c>
      <c r="D42" t="s">
        <v>3123</v>
      </c>
      <c r="E42" t="s">
        <v>3124</v>
      </c>
      <c r="F42" t="s">
        <v>3049</v>
      </c>
      <c r="G42" t="s">
        <v>1037</v>
      </c>
    </row>
    <row r="43" spans="1:7" ht="11.25" customHeight="1">
      <c r="A43" t="s">
        <v>14</v>
      </c>
      <c r="B43" t="s">
        <v>3121</v>
      </c>
      <c r="C43" t="s">
        <v>3122</v>
      </c>
      <c r="D43" t="s">
        <v>3125</v>
      </c>
      <c r="E43" t="s">
        <v>3126</v>
      </c>
      <c r="F43" t="s">
        <v>3049</v>
      </c>
      <c r="G43" t="s">
        <v>1044</v>
      </c>
    </row>
    <row r="44" spans="1:7" ht="11.25" customHeight="1">
      <c r="A44" t="s">
        <v>14</v>
      </c>
      <c r="B44" t="s">
        <v>3121</v>
      </c>
      <c r="C44" t="s">
        <v>3122</v>
      </c>
      <c r="D44" t="s">
        <v>3127</v>
      </c>
      <c r="E44" t="s">
        <v>3128</v>
      </c>
      <c r="F44" t="s">
        <v>3049</v>
      </c>
      <c r="G44" t="s">
        <v>1053</v>
      </c>
    </row>
    <row r="45" spans="1:7" ht="11.25" customHeight="1">
      <c r="A45" t="s">
        <v>14</v>
      </c>
      <c r="B45" t="s">
        <v>3121</v>
      </c>
      <c r="C45" t="s">
        <v>3122</v>
      </c>
      <c r="D45" t="s">
        <v>3129</v>
      </c>
      <c r="E45" t="s">
        <v>3130</v>
      </c>
      <c r="F45" t="s">
        <v>3049</v>
      </c>
      <c r="G45" t="s">
        <v>1059</v>
      </c>
    </row>
    <row r="46" spans="1:7" ht="11.25" customHeight="1">
      <c r="A46" t="s">
        <v>14</v>
      </c>
      <c r="B46" t="s">
        <v>3121</v>
      </c>
      <c r="C46" t="s">
        <v>3122</v>
      </c>
      <c r="D46" t="s">
        <v>3131</v>
      </c>
      <c r="E46" t="s">
        <v>3132</v>
      </c>
      <c r="F46" t="s">
        <v>3045</v>
      </c>
      <c r="G46" t="s">
        <v>1063</v>
      </c>
    </row>
    <row r="47" spans="1:7" ht="11.25" customHeight="1">
      <c r="A47" t="s">
        <v>14</v>
      </c>
      <c r="B47" t="s">
        <v>3121</v>
      </c>
      <c r="C47" t="s">
        <v>3122</v>
      </c>
      <c r="D47" t="s">
        <v>3133</v>
      </c>
      <c r="E47" t="s">
        <v>3134</v>
      </c>
      <c r="F47" t="s">
        <v>3049</v>
      </c>
      <c r="G47" t="s">
        <v>1070</v>
      </c>
    </row>
    <row r="48" spans="1:7" ht="11.25" customHeight="1">
      <c r="A48" t="s">
        <v>14</v>
      </c>
      <c r="B48" t="s">
        <v>3121</v>
      </c>
      <c r="C48" t="s">
        <v>3122</v>
      </c>
      <c r="D48" t="s">
        <v>3121</v>
      </c>
      <c r="E48" t="s">
        <v>3122</v>
      </c>
      <c r="F48" t="s">
        <v>3046</v>
      </c>
      <c r="G48" t="s">
        <v>1076</v>
      </c>
    </row>
    <row r="49" spans="1:7" ht="11.25" customHeight="1">
      <c r="A49" t="s">
        <v>14</v>
      </c>
      <c r="B49" t="s">
        <v>3121</v>
      </c>
      <c r="C49" t="s">
        <v>3122</v>
      </c>
      <c r="D49" t="s">
        <v>3135</v>
      </c>
      <c r="E49" t="s">
        <v>3136</v>
      </c>
      <c r="F49" t="s">
        <v>3045</v>
      </c>
      <c r="G49" t="s">
        <v>1082</v>
      </c>
    </row>
    <row r="50" spans="1:7" ht="11.25" customHeight="1">
      <c r="A50" t="s">
        <v>14</v>
      </c>
      <c r="B50" t="s">
        <v>3121</v>
      </c>
      <c r="C50" t="s">
        <v>3122</v>
      </c>
      <c r="D50" t="s">
        <v>3137</v>
      </c>
      <c r="E50" t="s">
        <v>3138</v>
      </c>
      <c r="F50" t="s">
        <v>3049</v>
      </c>
      <c r="G50" t="s">
        <v>1087</v>
      </c>
    </row>
    <row r="51" spans="1:7" ht="11.25" customHeight="1">
      <c r="A51" t="s">
        <v>14</v>
      </c>
      <c r="B51" t="s">
        <v>3139</v>
      </c>
      <c r="C51" t="s">
        <v>3140</v>
      </c>
      <c r="D51" t="s">
        <v>3139</v>
      </c>
      <c r="E51" t="s">
        <v>3140</v>
      </c>
      <c r="F51" t="s">
        <v>3074</v>
      </c>
      <c r="G51" t="s">
        <v>1092</v>
      </c>
    </row>
    <row r="52" spans="1:7" ht="11.25" customHeight="1">
      <c r="A52" t="s">
        <v>14</v>
      </c>
      <c r="B52" t="s">
        <v>3141</v>
      </c>
      <c r="C52" t="s">
        <v>3142</v>
      </c>
      <c r="D52" t="s">
        <v>3143</v>
      </c>
      <c r="E52" t="s">
        <v>3144</v>
      </c>
      <c r="F52" t="s">
        <v>3045</v>
      </c>
      <c r="G52" t="s">
        <v>1096</v>
      </c>
    </row>
    <row r="53" spans="1:7" ht="11.25" customHeight="1">
      <c r="A53" t="s">
        <v>14</v>
      </c>
      <c r="B53" t="s">
        <v>3141</v>
      </c>
      <c r="C53" t="s">
        <v>3142</v>
      </c>
      <c r="D53" t="s">
        <v>3145</v>
      </c>
      <c r="E53" t="s">
        <v>3146</v>
      </c>
      <c r="F53" t="s">
        <v>3049</v>
      </c>
      <c r="G53" t="s">
        <v>1098</v>
      </c>
    </row>
    <row r="54" spans="1:7" ht="11.25" customHeight="1">
      <c r="A54" t="s">
        <v>14</v>
      </c>
      <c r="B54" t="s">
        <v>3141</v>
      </c>
      <c r="C54" t="s">
        <v>3142</v>
      </c>
      <c r="D54" t="s">
        <v>3147</v>
      </c>
      <c r="E54" t="s">
        <v>3148</v>
      </c>
      <c r="F54" t="s">
        <v>3049</v>
      </c>
      <c r="G54" t="s">
        <v>1101</v>
      </c>
    </row>
    <row r="55" spans="1:7" ht="11.25" customHeight="1">
      <c r="A55" t="s">
        <v>14</v>
      </c>
      <c r="B55" t="s">
        <v>3141</v>
      </c>
      <c r="C55" t="s">
        <v>3142</v>
      </c>
      <c r="D55" t="s">
        <v>3149</v>
      </c>
      <c r="E55" t="s">
        <v>3150</v>
      </c>
      <c r="F55" t="s">
        <v>3049</v>
      </c>
      <c r="G55" t="s">
        <v>1105</v>
      </c>
    </row>
    <row r="56" spans="1:7" ht="11.25" customHeight="1">
      <c r="A56" t="s">
        <v>14</v>
      </c>
      <c r="B56" t="s">
        <v>3141</v>
      </c>
      <c r="C56" t="s">
        <v>3142</v>
      </c>
      <c r="D56" t="s">
        <v>3141</v>
      </c>
      <c r="E56" t="s">
        <v>3142</v>
      </c>
      <c r="F56" t="s">
        <v>3046</v>
      </c>
      <c r="G56" t="s">
        <v>1108</v>
      </c>
    </row>
    <row r="57" spans="1:7" ht="11.25" customHeight="1">
      <c r="A57" t="s">
        <v>14</v>
      </c>
      <c r="B57" t="s">
        <v>3141</v>
      </c>
      <c r="C57" t="s">
        <v>3142</v>
      </c>
      <c r="D57" t="s">
        <v>3151</v>
      </c>
      <c r="E57" t="s">
        <v>3152</v>
      </c>
      <c r="F57" t="s">
        <v>3045</v>
      </c>
      <c r="G57" t="s">
        <v>1111</v>
      </c>
    </row>
    <row r="58" spans="1:7" ht="11.25" customHeight="1">
      <c r="A58" t="s">
        <v>14</v>
      </c>
      <c r="B58" t="s">
        <v>3141</v>
      </c>
      <c r="C58" t="s">
        <v>3142</v>
      </c>
      <c r="D58" t="s">
        <v>3153</v>
      </c>
      <c r="E58" t="s">
        <v>3154</v>
      </c>
      <c r="F58" t="s">
        <v>3049</v>
      </c>
      <c r="G58" t="s">
        <v>1114</v>
      </c>
    </row>
    <row r="59" spans="1:7" ht="11.25" customHeight="1">
      <c r="A59" t="s">
        <v>14</v>
      </c>
      <c r="B59" t="s">
        <v>3141</v>
      </c>
      <c r="C59" t="s">
        <v>3142</v>
      </c>
      <c r="D59" t="s">
        <v>3155</v>
      </c>
      <c r="E59" t="s">
        <v>3156</v>
      </c>
      <c r="F59" t="s">
        <v>3045</v>
      </c>
      <c r="G59" t="s">
        <v>1118</v>
      </c>
    </row>
    <row r="60" spans="1:7" ht="11.25" customHeight="1">
      <c r="A60" t="s">
        <v>14</v>
      </c>
      <c r="B60" t="s">
        <v>3141</v>
      </c>
      <c r="C60" t="s">
        <v>3142</v>
      </c>
      <c r="D60" t="s">
        <v>3157</v>
      </c>
      <c r="E60" t="s">
        <v>3158</v>
      </c>
      <c r="F60" t="s">
        <v>3049</v>
      </c>
      <c r="G60" t="s">
        <v>1121</v>
      </c>
    </row>
    <row r="61" spans="1:7" ht="11.25" customHeight="1">
      <c r="A61" t="s">
        <v>14</v>
      </c>
      <c r="B61" t="s">
        <v>3141</v>
      </c>
      <c r="C61" t="s">
        <v>3142</v>
      </c>
      <c r="D61" t="s">
        <v>3159</v>
      </c>
      <c r="E61" t="s">
        <v>3160</v>
      </c>
      <c r="F61" t="s">
        <v>3045</v>
      </c>
      <c r="G61" t="s">
        <v>3161</v>
      </c>
    </row>
    <row r="62" spans="1:7" ht="11.25" customHeight="1">
      <c r="A62" t="s">
        <v>14</v>
      </c>
      <c r="B62" t="s">
        <v>3141</v>
      </c>
      <c r="C62" t="s">
        <v>3142</v>
      </c>
      <c r="D62" t="s">
        <v>3162</v>
      </c>
      <c r="E62" t="s">
        <v>3163</v>
      </c>
      <c r="F62" t="s">
        <v>3049</v>
      </c>
      <c r="G62" t="s">
        <v>3164</v>
      </c>
    </row>
    <row r="63" spans="1:7" ht="11.25" customHeight="1">
      <c r="A63" t="s">
        <v>14</v>
      </c>
      <c r="B63" t="s">
        <v>3141</v>
      </c>
      <c r="C63" t="s">
        <v>3142</v>
      </c>
      <c r="D63" t="s">
        <v>3165</v>
      </c>
      <c r="E63" t="s">
        <v>3166</v>
      </c>
      <c r="F63" t="s">
        <v>3049</v>
      </c>
      <c r="G63" t="s">
        <v>3167</v>
      </c>
    </row>
    <row r="64" spans="1:7" ht="11.25" customHeight="1">
      <c r="A64" t="s">
        <v>14</v>
      </c>
      <c r="B64" t="s">
        <v>111</v>
      </c>
      <c r="C64" t="s">
        <v>112</v>
      </c>
      <c r="D64" t="s">
        <v>111</v>
      </c>
      <c r="E64" t="s">
        <v>112</v>
      </c>
      <c r="F64" t="s">
        <v>3074</v>
      </c>
      <c r="G64" t="s">
        <v>110</v>
      </c>
    </row>
    <row r="65" spans="1:7" ht="11.25" customHeight="1">
      <c r="A65" t="s">
        <v>14</v>
      </c>
      <c r="B65" t="s">
        <v>3168</v>
      </c>
      <c r="C65" t="s">
        <v>3169</v>
      </c>
      <c r="D65" t="s">
        <v>3168</v>
      </c>
      <c r="E65" t="s">
        <v>3169</v>
      </c>
      <c r="F65" t="s">
        <v>3074</v>
      </c>
      <c r="G65" t="s">
        <v>3170</v>
      </c>
    </row>
    <row r="66" spans="1:7" ht="11.25" customHeight="1">
      <c r="A66" t="s">
        <v>14</v>
      </c>
      <c r="B66" t="s">
        <v>3171</v>
      </c>
      <c r="C66" t="s">
        <v>3172</v>
      </c>
      <c r="D66" t="s">
        <v>3171</v>
      </c>
      <c r="E66" t="s">
        <v>3172</v>
      </c>
      <c r="F66" t="s">
        <v>3074</v>
      </c>
      <c r="G66" t="s">
        <v>3173</v>
      </c>
    </row>
    <row r="67" spans="1:7" ht="11.25" customHeight="1">
      <c r="A67" t="s">
        <v>14</v>
      </c>
      <c r="B67" t="s">
        <v>3174</v>
      </c>
      <c r="C67" t="s">
        <v>3175</v>
      </c>
      <c r="D67" t="s">
        <v>3176</v>
      </c>
      <c r="E67" t="s">
        <v>3177</v>
      </c>
      <c r="F67" t="s">
        <v>3045</v>
      </c>
      <c r="G67" t="s">
        <v>1337</v>
      </c>
    </row>
    <row r="68" spans="1:7" ht="11.25" customHeight="1">
      <c r="A68" t="s">
        <v>14</v>
      </c>
      <c r="B68" t="s">
        <v>3174</v>
      </c>
      <c r="C68" t="s">
        <v>3175</v>
      </c>
      <c r="D68" t="s">
        <v>3178</v>
      </c>
      <c r="E68" t="s">
        <v>3179</v>
      </c>
      <c r="F68" t="s">
        <v>3049</v>
      </c>
      <c r="G68" t="s">
        <v>3180</v>
      </c>
    </row>
    <row r="69" spans="1:7" ht="11.25" customHeight="1">
      <c r="A69" t="s">
        <v>14</v>
      </c>
      <c r="B69" t="s">
        <v>3174</v>
      </c>
      <c r="C69" t="s">
        <v>3175</v>
      </c>
      <c r="D69" t="s">
        <v>3181</v>
      </c>
      <c r="E69" t="s">
        <v>3182</v>
      </c>
      <c r="F69" t="s">
        <v>3045</v>
      </c>
      <c r="G69" t="s">
        <v>1574</v>
      </c>
    </row>
    <row r="70" spans="1:7" ht="11.25" customHeight="1">
      <c r="A70" t="s">
        <v>14</v>
      </c>
      <c r="B70" t="s">
        <v>3174</v>
      </c>
      <c r="C70" t="s">
        <v>3175</v>
      </c>
      <c r="D70" t="s">
        <v>3183</v>
      </c>
      <c r="E70" t="s">
        <v>3184</v>
      </c>
      <c r="F70" t="s">
        <v>3045</v>
      </c>
      <c r="G70" t="s">
        <v>3185</v>
      </c>
    </row>
    <row r="71" spans="1:7" ht="11.25" customHeight="1">
      <c r="A71" t="s">
        <v>14</v>
      </c>
      <c r="B71" t="s">
        <v>3174</v>
      </c>
      <c r="C71" t="s">
        <v>3175</v>
      </c>
      <c r="D71" t="s">
        <v>3186</v>
      </c>
      <c r="E71" t="s">
        <v>3187</v>
      </c>
      <c r="F71" t="s">
        <v>3045</v>
      </c>
      <c r="G71" t="s">
        <v>3188</v>
      </c>
    </row>
    <row r="72" spans="1:7" ht="11.25" customHeight="1">
      <c r="A72" t="s">
        <v>14</v>
      </c>
      <c r="B72" t="s">
        <v>3174</v>
      </c>
      <c r="C72" t="s">
        <v>3175</v>
      </c>
      <c r="D72" t="s">
        <v>3189</v>
      </c>
      <c r="E72" t="s">
        <v>3190</v>
      </c>
      <c r="F72" t="s">
        <v>3045</v>
      </c>
      <c r="G72" t="s">
        <v>3191</v>
      </c>
    </row>
    <row r="73" spans="1:7" ht="11.25" customHeight="1">
      <c r="A73" t="s">
        <v>14</v>
      </c>
      <c r="B73" t="s">
        <v>3174</v>
      </c>
      <c r="C73" t="s">
        <v>3175</v>
      </c>
      <c r="D73" t="s">
        <v>3192</v>
      </c>
      <c r="E73" t="s">
        <v>3193</v>
      </c>
      <c r="F73" t="s">
        <v>3194</v>
      </c>
      <c r="G73" t="s">
        <v>3195</v>
      </c>
    </row>
    <row r="74" spans="1:7" ht="11.25" customHeight="1">
      <c r="A74" t="s">
        <v>14</v>
      </c>
      <c r="B74" t="s">
        <v>3174</v>
      </c>
      <c r="C74" t="s">
        <v>3175</v>
      </c>
      <c r="D74" t="s">
        <v>3174</v>
      </c>
      <c r="E74" t="s">
        <v>3175</v>
      </c>
      <c r="F74" t="s">
        <v>3046</v>
      </c>
      <c r="G74" t="s">
        <v>3196</v>
      </c>
    </row>
    <row r="75" spans="1:7" ht="11.25" customHeight="1">
      <c r="A75" t="s">
        <v>14</v>
      </c>
      <c r="B75" t="s">
        <v>3174</v>
      </c>
      <c r="C75" t="s">
        <v>3175</v>
      </c>
      <c r="D75" t="s">
        <v>3197</v>
      </c>
      <c r="E75" t="s">
        <v>3198</v>
      </c>
      <c r="F75" t="s">
        <v>3045</v>
      </c>
      <c r="G75" t="s">
        <v>3199</v>
      </c>
    </row>
    <row r="76" spans="1:7" ht="11.25" customHeight="1">
      <c r="A76" t="s">
        <v>14</v>
      </c>
      <c r="B76" t="s">
        <v>3200</v>
      </c>
      <c r="C76" t="s">
        <v>3201</v>
      </c>
      <c r="D76" t="s">
        <v>3200</v>
      </c>
      <c r="E76" t="s">
        <v>3201</v>
      </c>
      <c r="F76" t="s">
        <v>3074</v>
      </c>
      <c r="G76" t="s">
        <v>3202</v>
      </c>
    </row>
    <row r="77" spans="1:7" ht="11.25" customHeight="1">
      <c r="A77" t="s">
        <v>14</v>
      </c>
      <c r="B77" t="s">
        <v>3203</v>
      </c>
      <c r="C77" t="s">
        <v>3204</v>
      </c>
      <c r="D77" t="s">
        <v>3205</v>
      </c>
      <c r="E77" t="s">
        <v>3206</v>
      </c>
      <c r="F77" t="s">
        <v>3045</v>
      </c>
      <c r="G77" t="s">
        <v>3207</v>
      </c>
    </row>
    <row r="78" spans="1:7" ht="11.25" customHeight="1">
      <c r="A78" t="s">
        <v>14</v>
      </c>
      <c r="B78" t="s">
        <v>3203</v>
      </c>
      <c r="C78" t="s">
        <v>3204</v>
      </c>
      <c r="D78" t="s">
        <v>3208</v>
      </c>
      <c r="E78" t="s">
        <v>3209</v>
      </c>
      <c r="F78" t="s">
        <v>3045</v>
      </c>
      <c r="G78" t="s">
        <v>3210</v>
      </c>
    </row>
    <row r="79" spans="1:7" ht="11.25" customHeight="1">
      <c r="A79" t="s">
        <v>14</v>
      </c>
      <c r="B79" t="s">
        <v>3203</v>
      </c>
      <c r="C79" t="s">
        <v>3204</v>
      </c>
      <c r="D79" t="s">
        <v>3211</v>
      </c>
      <c r="E79" t="s">
        <v>3212</v>
      </c>
      <c r="F79" t="s">
        <v>3049</v>
      </c>
      <c r="G79" t="s">
        <v>3213</v>
      </c>
    </row>
    <row r="80" spans="1:7" ht="11.25" customHeight="1">
      <c r="A80" t="s">
        <v>14</v>
      </c>
      <c r="B80" t="s">
        <v>3203</v>
      </c>
      <c r="C80" t="s">
        <v>3204</v>
      </c>
      <c r="D80" t="s">
        <v>3214</v>
      </c>
      <c r="E80" t="s">
        <v>3215</v>
      </c>
      <c r="F80" t="s">
        <v>3049</v>
      </c>
      <c r="G80" t="s">
        <v>3216</v>
      </c>
    </row>
    <row r="81" spans="1:7" ht="11.25" customHeight="1">
      <c r="A81" t="s">
        <v>14</v>
      </c>
      <c r="B81" t="s">
        <v>3203</v>
      </c>
      <c r="C81" t="s">
        <v>3204</v>
      </c>
      <c r="D81" t="s">
        <v>3217</v>
      </c>
      <c r="E81" t="s">
        <v>3218</v>
      </c>
      <c r="F81" t="s">
        <v>3194</v>
      </c>
      <c r="G81" t="s">
        <v>3219</v>
      </c>
    </row>
    <row r="82" spans="1:7" ht="11.25" customHeight="1">
      <c r="A82" t="s">
        <v>14</v>
      </c>
      <c r="B82" t="s">
        <v>3203</v>
      </c>
      <c r="C82" t="s">
        <v>3204</v>
      </c>
      <c r="D82" t="s">
        <v>3220</v>
      </c>
      <c r="E82" t="s">
        <v>3221</v>
      </c>
      <c r="F82" t="s">
        <v>3049</v>
      </c>
      <c r="G82" t="s">
        <v>3222</v>
      </c>
    </row>
    <row r="83" spans="1:7" ht="11.25" customHeight="1">
      <c r="A83" t="s">
        <v>14</v>
      </c>
      <c r="B83" t="s">
        <v>3203</v>
      </c>
      <c r="C83" t="s">
        <v>3204</v>
      </c>
      <c r="D83" t="s">
        <v>3223</v>
      </c>
      <c r="E83" t="s">
        <v>3224</v>
      </c>
      <c r="F83" t="s">
        <v>3049</v>
      </c>
      <c r="G83" t="s">
        <v>3225</v>
      </c>
    </row>
    <row r="84" spans="1:7" ht="11.25" customHeight="1">
      <c r="A84" t="s">
        <v>14</v>
      </c>
      <c r="B84" t="s">
        <v>3203</v>
      </c>
      <c r="C84" t="s">
        <v>3204</v>
      </c>
      <c r="D84" t="s">
        <v>3226</v>
      </c>
      <c r="E84" t="s">
        <v>3227</v>
      </c>
      <c r="F84" t="s">
        <v>3049</v>
      </c>
      <c r="G84" t="s">
        <v>3228</v>
      </c>
    </row>
    <row r="85" spans="1:7" ht="11.25" customHeight="1">
      <c r="A85" t="s">
        <v>14</v>
      </c>
      <c r="B85" t="s">
        <v>3203</v>
      </c>
      <c r="C85" t="s">
        <v>3204</v>
      </c>
      <c r="D85" t="s">
        <v>3203</v>
      </c>
      <c r="E85" t="s">
        <v>3204</v>
      </c>
      <c r="F85" t="s">
        <v>3046</v>
      </c>
      <c r="G85" t="s">
        <v>3229</v>
      </c>
    </row>
    <row r="86" spans="1:7" ht="11.25" customHeight="1">
      <c r="A86" t="s">
        <v>14</v>
      </c>
      <c r="B86" t="s">
        <v>3203</v>
      </c>
      <c r="C86" t="s">
        <v>3204</v>
      </c>
      <c r="D86" t="s">
        <v>3230</v>
      </c>
      <c r="E86" t="s">
        <v>3231</v>
      </c>
      <c r="F86" t="s">
        <v>3049</v>
      </c>
      <c r="G86" t="s">
        <v>3232</v>
      </c>
    </row>
    <row r="87" spans="1:7" ht="11.25" customHeight="1">
      <c r="A87" t="s">
        <v>14</v>
      </c>
      <c r="B87" t="s">
        <v>3203</v>
      </c>
      <c r="C87" t="s">
        <v>3204</v>
      </c>
      <c r="D87" t="s">
        <v>3233</v>
      </c>
      <c r="E87" t="s">
        <v>3234</v>
      </c>
      <c r="F87" t="s">
        <v>3049</v>
      </c>
      <c r="G87" t="s">
        <v>3235</v>
      </c>
    </row>
    <row r="88" spans="1:7" ht="11.25" customHeight="1">
      <c r="A88" t="s">
        <v>14</v>
      </c>
      <c r="B88" t="s">
        <v>3203</v>
      </c>
      <c r="C88" t="s">
        <v>3204</v>
      </c>
      <c r="D88" t="s">
        <v>3236</v>
      </c>
      <c r="E88" t="s">
        <v>3237</v>
      </c>
      <c r="F88" t="s">
        <v>3049</v>
      </c>
      <c r="G88" t="s">
        <v>3238</v>
      </c>
    </row>
    <row r="89" spans="1:7" ht="11.25" customHeight="1">
      <c r="A89" t="s">
        <v>14</v>
      </c>
      <c r="B89" t="s">
        <v>3203</v>
      </c>
      <c r="C89" t="s">
        <v>3204</v>
      </c>
      <c r="D89" t="s">
        <v>3239</v>
      </c>
      <c r="E89" t="s">
        <v>3240</v>
      </c>
      <c r="F89" t="s">
        <v>3049</v>
      </c>
      <c r="G89" t="s">
        <v>3241</v>
      </c>
    </row>
    <row r="90" spans="1:7" ht="11.25" customHeight="1">
      <c r="A90" t="s">
        <v>14</v>
      </c>
      <c r="B90" t="s">
        <v>3203</v>
      </c>
      <c r="C90" t="s">
        <v>3204</v>
      </c>
      <c r="D90" t="s">
        <v>3242</v>
      </c>
      <c r="E90" t="s">
        <v>3243</v>
      </c>
      <c r="F90" t="s">
        <v>3045</v>
      </c>
      <c r="G90" t="s">
        <v>3244</v>
      </c>
    </row>
    <row r="91" spans="1:7" ht="11.25" customHeight="1">
      <c r="A91" t="s">
        <v>14</v>
      </c>
      <c r="B91" t="s">
        <v>3245</v>
      </c>
      <c r="C91" t="s">
        <v>3246</v>
      </c>
      <c r="D91" t="s">
        <v>3245</v>
      </c>
      <c r="E91" t="s">
        <v>3246</v>
      </c>
      <c r="F91" t="s">
        <v>3074</v>
      </c>
      <c r="G91" t="s">
        <v>3247</v>
      </c>
    </row>
    <row r="92" spans="1:7" ht="11.25" customHeight="1">
      <c r="A92" t="s">
        <v>14</v>
      </c>
      <c r="B92" t="s">
        <v>3248</v>
      </c>
      <c r="C92" t="s">
        <v>3249</v>
      </c>
      <c r="D92" t="s">
        <v>3248</v>
      </c>
      <c r="E92" t="s">
        <v>3249</v>
      </c>
      <c r="F92" t="s">
        <v>3074</v>
      </c>
      <c r="G92" t="s">
        <v>3250</v>
      </c>
    </row>
    <row r="93" spans="1:7" ht="11.25" customHeight="1">
      <c r="A93" t="s">
        <v>14</v>
      </c>
      <c r="B93" t="s">
        <v>3251</v>
      </c>
      <c r="C93" t="s">
        <v>3252</v>
      </c>
      <c r="D93" t="s">
        <v>3253</v>
      </c>
      <c r="E93" t="s">
        <v>3254</v>
      </c>
      <c r="F93" t="s">
        <v>3049</v>
      </c>
      <c r="G93" t="s">
        <v>3255</v>
      </c>
    </row>
    <row r="94" spans="1:7" ht="11.25" customHeight="1">
      <c r="A94" t="s">
        <v>14</v>
      </c>
      <c r="B94" t="s">
        <v>3251</v>
      </c>
      <c r="C94" t="s">
        <v>3252</v>
      </c>
      <c r="D94" t="s">
        <v>3256</v>
      </c>
      <c r="E94" t="s">
        <v>3257</v>
      </c>
      <c r="F94" t="s">
        <v>3049</v>
      </c>
      <c r="G94" t="s">
        <v>3258</v>
      </c>
    </row>
    <row r="95" spans="1:7" ht="11.25" customHeight="1">
      <c r="A95" t="s">
        <v>14</v>
      </c>
      <c r="B95" t="s">
        <v>3251</v>
      </c>
      <c r="C95" t="s">
        <v>3252</v>
      </c>
      <c r="D95" t="s">
        <v>3259</v>
      </c>
      <c r="E95" t="s">
        <v>3260</v>
      </c>
      <c r="F95" t="s">
        <v>3049</v>
      </c>
      <c r="G95" t="s">
        <v>3261</v>
      </c>
    </row>
    <row r="96" spans="1:7" ht="11.25" customHeight="1">
      <c r="A96" t="s">
        <v>14</v>
      </c>
      <c r="B96" t="s">
        <v>3251</v>
      </c>
      <c r="C96" t="s">
        <v>3252</v>
      </c>
      <c r="D96" t="s">
        <v>3262</v>
      </c>
      <c r="E96" t="s">
        <v>3263</v>
      </c>
      <c r="F96" t="s">
        <v>3049</v>
      </c>
      <c r="G96" t="s">
        <v>3264</v>
      </c>
    </row>
    <row r="97" spans="1:7" ht="11.25" customHeight="1">
      <c r="A97" t="s">
        <v>14</v>
      </c>
      <c r="B97" t="s">
        <v>3251</v>
      </c>
      <c r="C97" t="s">
        <v>3252</v>
      </c>
      <c r="D97" t="s">
        <v>3265</v>
      </c>
      <c r="E97" t="s">
        <v>3266</v>
      </c>
      <c r="F97" t="s">
        <v>3049</v>
      </c>
      <c r="G97" t="s">
        <v>3267</v>
      </c>
    </row>
    <row r="98" spans="1:7" ht="11.25" customHeight="1">
      <c r="A98" t="s">
        <v>14</v>
      </c>
      <c r="B98" t="s">
        <v>3251</v>
      </c>
      <c r="C98" t="s">
        <v>3252</v>
      </c>
      <c r="D98" t="s">
        <v>3268</v>
      </c>
      <c r="E98" t="s">
        <v>3269</v>
      </c>
      <c r="F98" t="s">
        <v>3049</v>
      </c>
      <c r="G98" t="s">
        <v>3270</v>
      </c>
    </row>
    <row r="99" spans="1:7" ht="11.25" customHeight="1">
      <c r="A99" t="s">
        <v>14</v>
      </c>
      <c r="B99" t="s">
        <v>3251</v>
      </c>
      <c r="C99" t="s">
        <v>3252</v>
      </c>
      <c r="D99" t="s">
        <v>3271</v>
      </c>
      <c r="E99" t="s">
        <v>3272</v>
      </c>
      <c r="F99" t="s">
        <v>3049</v>
      </c>
      <c r="G99" t="s">
        <v>3273</v>
      </c>
    </row>
    <row r="100" spans="1:7" ht="11.25" customHeight="1">
      <c r="A100" t="s">
        <v>14</v>
      </c>
      <c r="B100" t="s">
        <v>3251</v>
      </c>
      <c r="C100" t="s">
        <v>3252</v>
      </c>
      <c r="D100" t="s">
        <v>3274</v>
      </c>
      <c r="E100" t="s">
        <v>3275</v>
      </c>
      <c r="F100" t="s">
        <v>3049</v>
      </c>
      <c r="G100" t="s">
        <v>3276</v>
      </c>
    </row>
    <row r="101" spans="1:7" ht="11.25" customHeight="1">
      <c r="A101" t="s">
        <v>14</v>
      </c>
      <c r="B101" t="s">
        <v>3251</v>
      </c>
      <c r="C101" t="s">
        <v>3252</v>
      </c>
      <c r="D101" t="s">
        <v>3277</v>
      </c>
      <c r="E101" t="s">
        <v>3278</v>
      </c>
      <c r="F101" t="s">
        <v>3049</v>
      </c>
      <c r="G101" t="s">
        <v>3279</v>
      </c>
    </row>
    <row r="102" spans="1:7" ht="11.25" customHeight="1">
      <c r="A102" t="s">
        <v>14</v>
      </c>
      <c r="B102" t="s">
        <v>3251</v>
      </c>
      <c r="C102" t="s">
        <v>3252</v>
      </c>
      <c r="D102" t="s">
        <v>3251</v>
      </c>
      <c r="E102" t="s">
        <v>3252</v>
      </c>
      <c r="F102" t="s">
        <v>3046</v>
      </c>
      <c r="G102" t="s">
        <v>3280</v>
      </c>
    </row>
    <row r="103" spans="1:7" ht="11.25" customHeight="1">
      <c r="A103" t="s">
        <v>14</v>
      </c>
      <c r="B103" t="s">
        <v>3251</v>
      </c>
      <c r="C103" t="s">
        <v>3252</v>
      </c>
      <c r="D103" t="s">
        <v>3281</v>
      </c>
      <c r="E103" t="s">
        <v>3282</v>
      </c>
      <c r="F103" t="s">
        <v>3049</v>
      </c>
      <c r="G103" t="s">
        <v>3283</v>
      </c>
    </row>
    <row r="104" spans="1:7" ht="11.25" customHeight="1">
      <c r="A104" t="s">
        <v>14</v>
      </c>
      <c r="B104" t="s">
        <v>3251</v>
      </c>
      <c r="C104" t="s">
        <v>3252</v>
      </c>
      <c r="D104" t="s">
        <v>3284</v>
      </c>
      <c r="E104" t="s">
        <v>3285</v>
      </c>
      <c r="F104" t="s">
        <v>3049</v>
      </c>
      <c r="G104" t="s">
        <v>3286</v>
      </c>
    </row>
    <row r="105" spans="1:7" ht="11.25" customHeight="1">
      <c r="A105" t="s">
        <v>14</v>
      </c>
      <c r="B105" t="s">
        <v>3251</v>
      </c>
      <c r="C105" t="s">
        <v>3252</v>
      </c>
      <c r="D105" t="s">
        <v>3287</v>
      </c>
      <c r="E105" t="s">
        <v>3288</v>
      </c>
      <c r="F105" t="s">
        <v>3049</v>
      </c>
      <c r="G105" t="s">
        <v>3289</v>
      </c>
    </row>
    <row r="106" spans="1:7" ht="11.25" customHeight="1">
      <c r="A106" t="s">
        <v>14</v>
      </c>
      <c r="B106" t="s">
        <v>3290</v>
      </c>
      <c r="C106" t="s">
        <v>3291</v>
      </c>
      <c r="D106" t="s">
        <v>3290</v>
      </c>
      <c r="E106" t="s">
        <v>3291</v>
      </c>
      <c r="F106" t="s">
        <v>3074</v>
      </c>
      <c r="G106" t="s">
        <v>3292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964E5-850B-279D-8BED-089711D257CB}">
  <sheetPr>
    <tabColor rgb="FFFFCC99"/>
  </sheetPr>
  <dimension ref="A1:D18"/>
  <sheetViews>
    <sheetView showGridLines="0" workbookViewId="0"/>
  </sheetViews>
  <sheetFormatPr defaultColWidth="9.140625" defaultRowHeight="11.25" customHeight="1"/>
  <cols>
    <col min="1" max="4" width="9.140625" style="31"/>
  </cols>
  <sheetData>
    <row r="1" spans="1:4" ht="11.25" customHeight="1">
      <c r="A1" s="31" t="s">
        <v>3293</v>
      </c>
      <c r="B1" s="31" t="s">
        <v>3294</v>
      </c>
      <c r="C1" s="31" t="s">
        <v>3295</v>
      </c>
      <c r="D1" s="31" t="s">
        <v>3296</v>
      </c>
    </row>
    <row r="2" spans="1:4" ht="11.25" customHeight="1">
      <c r="A2" s="31" t="s">
        <v>119</v>
      </c>
      <c r="B2" s="31" t="s">
        <v>3297</v>
      </c>
      <c r="C2" s="31" t="s">
        <v>3298</v>
      </c>
      <c r="D2" s="31" t="s">
        <v>3299</v>
      </c>
    </row>
    <row r="3" spans="1:4" ht="11.25" customHeight="1">
      <c r="A3" s="31" t="s">
        <v>103</v>
      </c>
      <c r="B3" s="31" t="s">
        <v>3300</v>
      </c>
      <c r="C3" s="31" t="s">
        <v>3301</v>
      </c>
      <c r="D3" s="31" t="s">
        <v>3302</v>
      </c>
    </row>
    <row r="4" spans="1:4" ht="11.25" customHeight="1">
      <c r="A4" s="31" t="s">
        <v>90</v>
      </c>
      <c r="B4" s="31" t="s">
        <v>3303</v>
      </c>
      <c r="C4" s="31" t="s">
        <v>3298</v>
      </c>
      <c r="D4" s="31" t="s">
        <v>3299</v>
      </c>
    </row>
    <row r="5" spans="1:4" ht="11.25" customHeight="1">
      <c r="A5" s="31" t="s">
        <v>91</v>
      </c>
      <c r="B5" s="31" t="s">
        <v>3303</v>
      </c>
      <c r="C5" s="31" t="s">
        <v>3298</v>
      </c>
      <c r="D5" s="31" t="s">
        <v>3299</v>
      </c>
    </row>
    <row r="6" spans="1:4" ht="11.25" customHeight="1">
      <c r="A6" s="31" t="s">
        <v>120</v>
      </c>
      <c r="B6" s="31" t="s">
        <v>3304</v>
      </c>
      <c r="C6" s="31" t="s">
        <v>3298</v>
      </c>
      <c r="D6" s="31" t="s">
        <v>3299</v>
      </c>
    </row>
    <row r="7" spans="1:4" ht="11.25" customHeight="1">
      <c r="A7" s="31" t="s">
        <v>92</v>
      </c>
      <c r="B7" s="31" t="s">
        <v>3304</v>
      </c>
      <c r="C7" s="31" t="s">
        <v>3298</v>
      </c>
      <c r="D7" s="31" t="s">
        <v>3299</v>
      </c>
    </row>
    <row r="8" spans="1:4" ht="11.25" customHeight="1">
      <c r="A8" s="31" t="s">
        <v>93</v>
      </c>
      <c r="B8" s="31" t="s">
        <v>3305</v>
      </c>
      <c r="C8" s="31" t="s">
        <v>3298</v>
      </c>
      <c r="D8" s="31" t="s">
        <v>3299</v>
      </c>
    </row>
    <row r="9" spans="1:4" ht="11.25" customHeight="1">
      <c r="A9" s="31" t="s">
        <v>121</v>
      </c>
      <c r="B9" s="31" t="s">
        <v>3305</v>
      </c>
      <c r="C9" s="31" t="s">
        <v>3298</v>
      </c>
      <c r="D9" s="31" t="s">
        <v>3299</v>
      </c>
    </row>
    <row r="10" spans="1:4" ht="11.25" customHeight="1">
      <c r="A10" s="31" t="s">
        <v>164</v>
      </c>
      <c r="B10" s="31" t="s">
        <v>3306</v>
      </c>
      <c r="C10" s="31" t="s">
        <v>3307</v>
      </c>
      <c r="D10" s="31" t="s">
        <v>3299</v>
      </c>
    </row>
    <row r="11" spans="1:4" ht="11.25" customHeight="1">
      <c r="A11" s="31" t="s">
        <v>165</v>
      </c>
      <c r="B11" s="31" t="s">
        <v>3306</v>
      </c>
      <c r="C11" s="31" t="s">
        <v>3307</v>
      </c>
      <c r="D11" s="31" t="s">
        <v>3299</v>
      </c>
    </row>
    <row r="12" spans="1:4" ht="11.25" customHeight="1">
      <c r="A12" s="31" t="s">
        <v>166</v>
      </c>
      <c r="B12" s="31" t="s">
        <v>3308</v>
      </c>
      <c r="C12" s="31" t="s">
        <v>3309</v>
      </c>
      <c r="D12" s="31" t="s">
        <v>3299</v>
      </c>
    </row>
    <row r="13" spans="1:4" ht="11.25" customHeight="1">
      <c r="A13" s="31" t="s">
        <v>167</v>
      </c>
      <c r="B13" s="31" t="s">
        <v>3310</v>
      </c>
      <c r="C13" s="31" t="s">
        <v>3298</v>
      </c>
      <c r="D13" s="31" t="s">
        <v>3299</v>
      </c>
    </row>
    <row r="14" spans="1:4" ht="11.25" customHeight="1">
      <c r="A14" s="31" t="s">
        <v>168</v>
      </c>
      <c r="B14" s="31" t="s">
        <v>3311</v>
      </c>
      <c r="C14" s="31" t="s">
        <v>3312</v>
      </c>
      <c r="D14" s="31" t="s">
        <v>3299</v>
      </c>
    </row>
    <row r="15" spans="1:4" ht="11.25" customHeight="1">
      <c r="A15" s="31" t="s">
        <v>169</v>
      </c>
      <c r="B15" s="31" t="s">
        <v>3313</v>
      </c>
      <c r="C15" s="31" t="s">
        <v>3314</v>
      </c>
      <c r="D15" s="31" t="s">
        <v>3315</v>
      </c>
    </row>
    <row r="16" spans="1:4" ht="11.25" customHeight="1">
      <c r="A16" s="31" t="s">
        <v>867</v>
      </c>
      <c r="B16" s="31" t="s">
        <v>3316</v>
      </c>
      <c r="C16" s="31" t="s">
        <v>3314</v>
      </c>
      <c r="D16" s="31" t="s">
        <v>3315</v>
      </c>
    </row>
    <row r="17" spans="1:4" ht="11.25" customHeight="1">
      <c r="A17" s="31" t="s">
        <v>99</v>
      </c>
      <c r="B17" s="31" t="s">
        <v>3317</v>
      </c>
      <c r="C17" s="31" t="s">
        <v>3318</v>
      </c>
      <c r="D17" s="31" t="s">
        <v>3315</v>
      </c>
    </row>
    <row r="18" spans="1:4" ht="11.25" customHeight="1">
      <c r="A18" s="31" t="s">
        <v>883</v>
      </c>
      <c r="B18" s="31" t="s">
        <v>3319</v>
      </c>
      <c r="C18" s="31" t="s">
        <v>3298</v>
      </c>
      <c r="D18" s="31" t="s">
        <v>3299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86A86-942D-A6C4-E0A8-640B1092C178}">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2987D-CAF6-A894-C794-66DBFBCCE1DF}">
  <sheetPr>
    <tabColor rgb="FFFFCC99"/>
  </sheetPr>
  <dimension ref="A1:B4"/>
  <sheetViews>
    <sheetView showGridLines="0" workbookViewId="0"/>
  </sheetViews>
  <sheetFormatPr defaultColWidth="9.140625" defaultRowHeight="11.25" customHeight="1"/>
  <cols>
    <col min="1" max="2" width="9.140625" style="91"/>
  </cols>
  <sheetData>
    <row r="1" spans="1:2" ht="11.25" customHeight="1">
      <c r="A1" s="91" t="s">
        <v>146</v>
      </c>
      <c r="B1" s="91" t="s">
        <v>3320</v>
      </c>
    </row>
    <row r="2" spans="1:2" ht="11.25" customHeight="1">
      <c r="A2" s="91" t="s">
        <v>98</v>
      </c>
      <c r="B2" s="91" t="s">
        <v>3321</v>
      </c>
    </row>
    <row r="3" spans="1:2" ht="11.25" customHeight="1">
      <c r="A3" s="91" t="s">
        <v>105</v>
      </c>
      <c r="B3" s="91" t="s">
        <v>3322</v>
      </c>
    </row>
    <row r="4" spans="1:2" ht="11.25" customHeight="1">
      <c r="A4" s="91" t="s">
        <v>109</v>
      </c>
      <c r="B4" s="91" t="s">
        <v>3323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F473A-1E87-8F16-522E-87F684B7C3D2}">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3324</v>
      </c>
      <c r="B1" s="31" t="s">
        <v>3325</v>
      </c>
    </row>
    <row r="2" spans="1:2" ht="11.25" customHeight="1">
      <c r="A2" s="31">
        <v>4213775</v>
      </c>
      <c r="B2" s="31" t="s">
        <v>623</v>
      </c>
    </row>
    <row r="3" spans="1:2" ht="11.25" customHeight="1">
      <c r="A3" s="31">
        <v>4213784</v>
      </c>
      <c r="B3" s="31" t="s">
        <v>659</v>
      </c>
    </row>
    <row r="4" spans="1:2" ht="11.25" customHeight="1">
      <c r="A4" s="31">
        <v>4213781</v>
      </c>
      <c r="B4" s="31" t="s">
        <v>652</v>
      </c>
    </row>
    <row r="5" spans="1:2" ht="11.25" customHeight="1">
      <c r="A5" s="31">
        <v>4213776</v>
      </c>
      <c r="B5" s="31" t="s">
        <v>182</v>
      </c>
    </row>
    <row r="6" spans="1:2" ht="11.25" customHeight="1">
      <c r="A6" s="31">
        <v>4213777</v>
      </c>
      <c r="B6" s="31" t="s">
        <v>188</v>
      </c>
    </row>
    <row r="7" spans="1:2" ht="11.25" customHeight="1">
      <c r="A7" s="31">
        <v>4213778</v>
      </c>
      <c r="B7" s="31" t="s">
        <v>194</v>
      </c>
    </row>
    <row r="8" spans="1:2" ht="11.25" customHeight="1">
      <c r="A8" s="31">
        <v>4213780</v>
      </c>
      <c r="B8" s="31" t="s">
        <v>200</v>
      </c>
    </row>
    <row r="9" spans="1:2" ht="11.25" customHeight="1">
      <c r="A9" s="31">
        <v>4213779</v>
      </c>
      <c r="B9" s="31" t="s">
        <v>791</v>
      </c>
    </row>
    <row r="10" spans="1:2" ht="11.25" customHeight="1">
      <c r="A10" s="31">
        <v>4213783</v>
      </c>
      <c r="B10" s="31" t="s">
        <v>806</v>
      </c>
    </row>
    <row r="11" spans="1:2" ht="11.25" customHeight="1">
      <c r="A11" s="31">
        <v>4213782</v>
      </c>
      <c r="B11" s="31" t="s">
        <v>206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879A5-2366-9EB5-299F-B9825AE272B2}">
  <sheetPr>
    <tabColor rgb="FFFFCC99"/>
  </sheetPr>
  <dimension ref="A1:B8"/>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3324</v>
      </c>
      <c r="B1" s="31" t="s">
        <v>3326</v>
      </c>
    </row>
    <row r="2" spans="1:2" ht="11.25" customHeight="1">
      <c r="A2" s="31" t="s">
        <v>127</v>
      </c>
      <c r="B2" s="31" t="s">
        <v>904</v>
      </c>
    </row>
    <row r="3" spans="1:2" ht="11.25" customHeight="1">
      <c r="A3" s="31" t="s">
        <v>134</v>
      </c>
      <c r="B3" s="31" t="s">
        <v>914</v>
      </c>
    </row>
    <row r="4" spans="1:2" ht="11.25" customHeight="1">
      <c r="A4" s="31" t="s">
        <v>3327</v>
      </c>
      <c r="B4" s="31" t="s">
        <v>923</v>
      </c>
    </row>
    <row r="5" spans="1:2" ht="11.25" customHeight="1">
      <c r="A5" s="31" t="s">
        <v>3328</v>
      </c>
      <c r="B5" s="31" t="s">
        <v>932</v>
      </c>
    </row>
    <row r="6" spans="1:2" ht="11.25" customHeight="1">
      <c r="A6" s="31" t="s">
        <v>3329</v>
      </c>
      <c r="B6" s="31" t="s">
        <v>938</v>
      </c>
    </row>
    <row r="7" spans="1:2" ht="11.25" customHeight="1">
      <c r="A7" s="31" t="s">
        <v>3330</v>
      </c>
      <c r="B7" s="31" t="s">
        <v>946</v>
      </c>
    </row>
    <row r="8" spans="1:2" ht="11.25" customHeight="1">
      <c r="A8" s="31" t="s">
        <v>3331</v>
      </c>
      <c r="B8" s="31" t="s">
        <v>953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D89A6-DA6C-3C8E-1C71-B858533BD043}">
  <sheetPr>
    <tabColor rgb="FFFFCC99"/>
  </sheetPr>
  <dimension ref="A1:G105"/>
  <sheetViews>
    <sheetView showGridLines="0" workbookViewId="0"/>
  </sheetViews>
  <sheetFormatPr defaultRowHeight="11.25" customHeight="1"/>
  <sheetData>
    <row r="1" spans="1:7" ht="11.25" customHeight="1">
      <c r="A1" t="s">
        <v>3034</v>
      </c>
      <c r="B1" t="s">
        <v>3035</v>
      </c>
      <c r="C1" t="s">
        <v>3036</v>
      </c>
      <c r="D1" t="s">
        <v>3037</v>
      </c>
      <c r="E1" t="s">
        <v>3038</v>
      </c>
      <c r="F1" t="s">
        <v>3039</v>
      </c>
      <c r="G1" t="s">
        <v>3040</v>
      </c>
    </row>
    <row r="2" spans="1:7" ht="11.25" customHeight="1">
      <c r="A2" t="s">
        <v>14</v>
      </c>
      <c r="B2" t="s">
        <v>3041</v>
      </c>
      <c r="C2" t="s">
        <v>3042</v>
      </c>
      <c r="D2" t="s">
        <v>3043</v>
      </c>
      <c r="E2" t="s">
        <v>3044</v>
      </c>
      <c r="F2" t="s">
        <v>3045</v>
      </c>
      <c r="G2" t="s">
        <v>119</v>
      </c>
    </row>
    <row r="3" spans="1:7" ht="11.25" customHeight="1">
      <c r="A3" t="s">
        <v>14</v>
      </c>
      <c r="B3" t="s">
        <v>3041</v>
      </c>
      <c r="C3" t="s">
        <v>3042</v>
      </c>
      <c r="D3" t="s">
        <v>3041</v>
      </c>
      <c r="E3" t="s">
        <v>3042</v>
      </c>
      <c r="F3" t="s">
        <v>3046</v>
      </c>
      <c r="G3" t="s">
        <v>103</v>
      </c>
    </row>
    <row r="4" spans="1:7" ht="11.25" customHeight="1">
      <c r="A4" t="s">
        <v>14</v>
      </c>
      <c r="B4" t="s">
        <v>3041</v>
      </c>
      <c r="C4" t="s">
        <v>3042</v>
      </c>
      <c r="D4" t="s">
        <v>3047</v>
      </c>
      <c r="E4" t="s">
        <v>3048</v>
      </c>
      <c r="F4" t="s">
        <v>3049</v>
      </c>
      <c r="G4" t="s">
        <v>90</v>
      </c>
    </row>
    <row r="5" spans="1:7" ht="11.25" customHeight="1">
      <c r="A5" t="s">
        <v>14</v>
      </c>
      <c r="B5" t="s">
        <v>3041</v>
      </c>
      <c r="C5" t="s">
        <v>3042</v>
      </c>
      <c r="D5" t="s">
        <v>3050</v>
      </c>
      <c r="E5" t="s">
        <v>3051</v>
      </c>
      <c r="F5" t="s">
        <v>3049</v>
      </c>
      <c r="G5" t="s">
        <v>91</v>
      </c>
    </row>
    <row r="6" spans="1:7" ht="11.25" customHeight="1">
      <c r="A6" t="s">
        <v>14</v>
      </c>
      <c r="B6" t="s">
        <v>3041</v>
      </c>
      <c r="C6" t="s">
        <v>3042</v>
      </c>
      <c r="D6" t="s">
        <v>3052</v>
      </c>
      <c r="E6" t="s">
        <v>3053</v>
      </c>
      <c r="F6" t="s">
        <v>3049</v>
      </c>
      <c r="G6" t="s">
        <v>120</v>
      </c>
    </row>
    <row r="7" spans="1:7" ht="11.25" customHeight="1">
      <c r="A7" t="s">
        <v>14</v>
      </c>
      <c r="B7" t="s">
        <v>3041</v>
      </c>
      <c r="C7" t="s">
        <v>3042</v>
      </c>
      <c r="D7" t="s">
        <v>3054</v>
      </c>
      <c r="E7" t="s">
        <v>3055</v>
      </c>
      <c r="F7" t="s">
        <v>3049</v>
      </c>
      <c r="G7" t="s">
        <v>92</v>
      </c>
    </row>
    <row r="8" spans="1:7" ht="11.25" customHeight="1">
      <c r="A8" t="s">
        <v>14</v>
      </c>
      <c r="B8" t="s">
        <v>3041</v>
      </c>
      <c r="C8" t="s">
        <v>3042</v>
      </c>
      <c r="D8" t="s">
        <v>3056</v>
      </c>
      <c r="E8" t="s">
        <v>3057</v>
      </c>
      <c r="F8" t="s">
        <v>3049</v>
      </c>
      <c r="G8" t="s">
        <v>93</v>
      </c>
    </row>
    <row r="9" spans="1:7" ht="11.25" customHeight="1">
      <c r="A9" t="s">
        <v>14</v>
      </c>
      <c r="B9" t="s">
        <v>3041</v>
      </c>
      <c r="C9" t="s">
        <v>3042</v>
      </c>
      <c r="D9" t="s">
        <v>3058</v>
      </c>
      <c r="E9" t="s">
        <v>3059</v>
      </c>
      <c r="F9" t="s">
        <v>3049</v>
      </c>
      <c r="G9" t="s">
        <v>121</v>
      </c>
    </row>
    <row r="10" spans="1:7" ht="11.25" customHeight="1">
      <c r="A10" t="s">
        <v>14</v>
      </c>
      <c r="B10" t="s">
        <v>3060</v>
      </c>
      <c r="C10" t="s">
        <v>3061</v>
      </c>
      <c r="D10" t="s">
        <v>3060</v>
      </c>
      <c r="E10" t="s">
        <v>3061</v>
      </c>
      <c r="F10" t="s">
        <v>3046</v>
      </c>
      <c r="G10" t="s">
        <v>164</v>
      </c>
    </row>
    <row r="11" spans="1:7" ht="11.25" customHeight="1">
      <c r="A11" t="s">
        <v>14</v>
      </c>
      <c r="B11" t="s">
        <v>3060</v>
      </c>
      <c r="C11" t="s">
        <v>3061</v>
      </c>
      <c r="D11" t="s">
        <v>3062</v>
      </c>
      <c r="E11" t="s">
        <v>3063</v>
      </c>
      <c r="F11" t="s">
        <v>3045</v>
      </c>
      <c r="G11" t="s">
        <v>165</v>
      </c>
    </row>
    <row r="12" spans="1:7" ht="11.25" customHeight="1">
      <c r="A12" t="s">
        <v>14</v>
      </c>
      <c r="B12" t="s">
        <v>3060</v>
      </c>
      <c r="C12" t="s">
        <v>3061</v>
      </c>
      <c r="D12" t="s">
        <v>3064</v>
      </c>
      <c r="E12" t="s">
        <v>3065</v>
      </c>
      <c r="F12" t="s">
        <v>3045</v>
      </c>
      <c r="G12" t="s">
        <v>166</v>
      </c>
    </row>
    <row r="13" spans="1:7" ht="11.25" customHeight="1">
      <c r="A13" t="s">
        <v>14</v>
      </c>
      <c r="B13" t="s">
        <v>3060</v>
      </c>
      <c r="C13" t="s">
        <v>3061</v>
      </c>
      <c r="D13" t="s">
        <v>3066</v>
      </c>
      <c r="E13" t="s">
        <v>3067</v>
      </c>
      <c r="F13" t="s">
        <v>3049</v>
      </c>
      <c r="G13" t="s">
        <v>167</v>
      </c>
    </row>
    <row r="14" spans="1:7" ht="11.25" customHeight="1">
      <c r="A14" t="s">
        <v>14</v>
      </c>
      <c r="B14" t="s">
        <v>3060</v>
      </c>
      <c r="C14" t="s">
        <v>3061</v>
      </c>
      <c r="D14" t="s">
        <v>3068</v>
      </c>
      <c r="E14" t="s">
        <v>3069</v>
      </c>
      <c r="F14" t="s">
        <v>3049</v>
      </c>
      <c r="G14" t="s">
        <v>168</v>
      </c>
    </row>
    <row r="15" spans="1:7" ht="11.25" customHeight="1">
      <c r="A15" t="s">
        <v>14</v>
      </c>
      <c r="B15" t="s">
        <v>3060</v>
      </c>
      <c r="C15" t="s">
        <v>3061</v>
      </c>
      <c r="D15" t="s">
        <v>3070</v>
      </c>
      <c r="E15" t="s">
        <v>3071</v>
      </c>
      <c r="F15" t="s">
        <v>3049</v>
      </c>
      <c r="G15" t="s">
        <v>169</v>
      </c>
    </row>
    <row r="16" spans="1:7" ht="11.25" customHeight="1">
      <c r="A16" t="s">
        <v>14</v>
      </c>
      <c r="B16" t="s">
        <v>3060</v>
      </c>
      <c r="C16" t="s">
        <v>3061</v>
      </c>
      <c r="D16" t="s">
        <v>3072</v>
      </c>
      <c r="E16" t="s">
        <v>3073</v>
      </c>
      <c r="F16" t="s">
        <v>3049</v>
      </c>
      <c r="G16" t="s">
        <v>867</v>
      </c>
    </row>
    <row r="17" spans="1:7" ht="11.25" customHeight="1">
      <c r="A17" t="s">
        <v>14</v>
      </c>
      <c r="B17" t="s">
        <v>100</v>
      </c>
      <c r="C17" t="s">
        <v>101</v>
      </c>
      <c r="D17" t="s">
        <v>100</v>
      </c>
      <c r="E17" t="s">
        <v>101</v>
      </c>
      <c r="F17" t="s">
        <v>3074</v>
      </c>
      <c r="G17" t="s">
        <v>99</v>
      </c>
    </row>
    <row r="18" spans="1:7" ht="11.25" customHeight="1">
      <c r="A18" t="s">
        <v>14</v>
      </c>
      <c r="B18" t="s">
        <v>3075</v>
      </c>
      <c r="C18" t="s">
        <v>3076</v>
      </c>
      <c r="D18" t="s">
        <v>3077</v>
      </c>
      <c r="E18" t="s">
        <v>3078</v>
      </c>
      <c r="F18" t="s">
        <v>3049</v>
      </c>
      <c r="G18" t="s">
        <v>883</v>
      </c>
    </row>
    <row r="19" spans="1:7" ht="11.25" customHeight="1">
      <c r="A19" t="s">
        <v>14</v>
      </c>
      <c r="B19" t="s">
        <v>3075</v>
      </c>
      <c r="C19" t="s">
        <v>3076</v>
      </c>
      <c r="D19" t="s">
        <v>3075</v>
      </c>
      <c r="E19" t="s">
        <v>3076</v>
      </c>
      <c r="F19" t="s">
        <v>3046</v>
      </c>
      <c r="G19" t="s">
        <v>897</v>
      </c>
    </row>
    <row r="20" spans="1:7" ht="11.25" customHeight="1">
      <c r="A20" t="s">
        <v>14</v>
      </c>
      <c r="B20" t="s">
        <v>3075</v>
      </c>
      <c r="C20" t="s">
        <v>3076</v>
      </c>
      <c r="D20" t="s">
        <v>3079</v>
      </c>
      <c r="E20" t="s">
        <v>3080</v>
      </c>
      <c r="F20" t="s">
        <v>3045</v>
      </c>
      <c r="G20" t="s">
        <v>909</v>
      </c>
    </row>
    <row r="21" spans="1:7" ht="11.25" customHeight="1">
      <c r="A21" t="s">
        <v>14</v>
      </c>
      <c r="B21" t="s">
        <v>3075</v>
      </c>
      <c r="C21" t="s">
        <v>3076</v>
      </c>
      <c r="D21" t="s">
        <v>3081</v>
      </c>
      <c r="E21" t="s">
        <v>3082</v>
      </c>
      <c r="F21" t="s">
        <v>3045</v>
      </c>
      <c r="G21" t="s">
        <v>918</v>
      </c>
    </row>
    <row r="22" spans="1:7" ht="11.25" customHeight="1">
      <c r="A22" t="s">
        <v>14</v>
      </c>
      <c r="B22" t="s">
        <v>3075</v>
      </c>
      <c r="C22" t="s">
        <v>3076</v>
      </c>
      <c r="D22" t="s">
        <v>3083</v>
      </c>
      <c r="E22" t="s">
        <v>3084</v>
      </c>
      <c r="F22" t="s">
        <v>3049</v>
      </c>
      <c r="G22" t="s">
        <v>934</v>
      </c>
    </row>
    <row r="23" spans="1:7" ht="11.25" customHeight="1">
      <c r="A23" t="s">
        <v>14</v>
      </c>
      <c r="B23" t="s">
        <v>3075</v>
      </c>
      <c r="C23" t="s">
        <v>3076</v>
      </c>
      <c r="D23" t="s">
        <v>3085</v>
      </c>
      <c r="E23" t="s">
        <v>3086</v>
      </c>
      <c r="F23" t="s">
        <v>3045</v>
      </c>
      <c r="G23" t="s">
        <v>941</v>
      </c>
    </row>
    <row r="24" spans="1:7" ht="11.25" customHeight="1">
      <c r="A24" t="s">
        <v>14</v>
      </c>
      <c r="B24" t="s">
        <v>3075</v>
      </c>
      <c r="C24" t="s">
        <v>3076</v>
      </c>
      <c r="D24" t="s">
        <v>3087</v>
      </c>
      <c r="E24" t="s">
        <v>3088</v>
      </c>
      <c r="F24" t="s">
        <v>3045</v>
      </c>
      <c r="G24" t="s">
        <v>949</v>
      </c>
    </row>
    <row r="25" spans="1:7" ht="11.25" customHeight="1">
      <c r="A25" t="s">
        <v>14</v>
      </c>
      <c r="B25" t="s">
        <v>3075</v>
      </c>
      <c r="C25" t="s">
        <v>3076</v>
      </c>
      <c r="D25" t="s">
        <v>3089</v>
      </c>
      <c r="E25" t="s">
        <v>3090</v>
      </c>
      <c r="F25" t="s">
        <v>3045</v>
      </c>
      <c r="G25" t="s">
        <v>956</v>
      </c>
    </row>
    <row r="26" spans="1:7" ht="11.25" customHeight="1">
      <c r="A26" t="s">
        <v>14</v>
      </c>
      <c r="B26" t="s">
        <v>3075</v>
      </c>
      <c r="C26" t="s">
        <v>3076</v>
      </c>
      <c r="D26" t="s">
        <v>3091</v>
      </c>
      <c r="E26" t="s">
        <v>3092</v>
      </c>
      <c r="F26" t="s">
        <v>3049</v>
      </c>
      <c r="G26" t="s">
        <v>960</v>
      </c>
    </row>
    <row r="27" spans="1:7" ht="11.25" customHeight="1">
      <c r="A27" t="s">
        <v>14</v>
      </c>
      <c r="B27" t="s">
        <v>3075</v>
      </c>
      <c r="C27" t="s">
        <v>3076</v>
      </c>
      <c r="D27" t="s">
        <v>3093</v>
      </c>
      <c r="E27" t="s">
        <v>3094</v>
      </c>
      <c r="F27" t="s">
        <v>3049</v>
      </c>
      <c r="G27" t="s">
        <v>965</v>
      </c>
    </row>
    <row r="28" spans="1:7" ht="11.25" customHeight="1">
      <c r="A28" t="s">
        <v>14</v>
      </c>
      <c r="B28" t="s">
        <v>3075</v>
      </c>
      <c r="C28" t="s">
        <v>3076</v>
      </c>
      <c r="D28" t="s">
        <v>3095</v>
      </c>
      <c r="E28" t="s">
        <v>3096</v>
      </c>
      <c r="F28" t="s">
        <v>3049</v>
      </c>
      <c r="G28" t="s">
        <v>973</v>
      </c>
    </row>
    <row r="29" spans="1:7" ht="11.25" customHeight="1">
      <c r="A29" t="s">
        <v>14</v>
      </c>
      <c r="B29" t="s">
        <v>3097</v>
      </c>
      <c r="C29" t="s">
        <v>3098</v>
      </c>
      <c r="D29" t="s">
        <v>3097</v>
      </c>
      <c r="E29" t="s">
        <v>3098</v>
      </c>
      <c r="F29" t="s">
        <v>3074</v>
      </c>
      <c r="G29" t="s">
        <v>977</v>
      </c>
    </row>
    <row r="30" spans="1:7" ht="11.25" customHeight="1">
      <c r="A30" t="s">
        <v>14</v>
      </c>
      <c r="B30" t="s">
        <v>3099</v>
      </c>
      <c r="C30" t="s">
        <v>3100</v>
      </c>
      <c r="D30" t="s">
        <v>3099</v>
      </c>
      <c r="E30" t="s">
        <v>3100</v>
      </c>
      <c r="F30" t="s">
        <v>3074</v>
      </c>
      <c r="G30" t="s">
        <v>983</v>
      </c>
    </row>
    <row r="31" spans="1:7" ht="11.25" customHeight="1">
      <c r="A31" t="s">
        <v>14</v>
      </c>
      <c r="B31" t="s">
        <v>3101</v>
      </c>
      <c r="C31" t="s">
        <v>3102</v>
      </c>
      <c r="D31" t="s">
        <v>3103</v>
      </c>
      <c r="E31" t="s">
        <v>3104</v>
      </c>
      <c r="F31" t="s">
        <v>3049</v>
      </c>
      <c r="G31" t="s">
        <v>985</v>
      </c>
    </row>
    <row r="32" spans="1:7" ht="11.25" customHeight="1">
      <c r="A32" t="s">
        <v>14</v>
      </c>
      <c r="B32" t="s">
        <v>3101</v>
      </c>
      <c r="C32" t="s">
        <v>3102</v>
      </c>
      <c r="D32" t="s">
        <v>3105</v>
      </c>
      <c r="E32" t="s">
        <v>3106</v>
      </c>
      <c r="F32" t="s">
        <v>3049</v>
      </c>
      <c r="G32" t="s">
        <v>987</v>
      </c>
    </row>
    <row r="33" spans="1:7" ht="11.25" customHeight="1">
      <c r="A33" t="s">
        <v>14</v>
      </c>
      <c r="B33" t="s">
        <v>3101</v>
      </c>
      <c r="C33" t="s">
        <v>3102</v>
      </c>
      <c r="D33" t="s">
        <v>3107</v>
      </c>
      <c r="E33" t="s">
        <v>3108</v>
      </c>
      <c r="F33" t="s">
        <v>3049</v>
      </c>
      <c r="G33" t="s">
        <v>989</v>
      </c>
    </row>
    <row r="34" spans="1:7" ht="11.25" customHeight="1">
      <c r="A34" t="s">
        <v>14</v>
      </c>
      <c r="B34" t="s">
        <v>3101</v>
      </c>
      <c r="C34" t="s">
        <v>3102</v>
      </c>
      <c r="D34" t="s">
        <v>3101</v>
      </c>
      <c r="E34" t="s">
        <v>3102</v>
      </c>
      <c r="F34" t="s">
        <v>3046</v>
      </c>
      <c r="G34" t="s">
        <v>995</v>
      </c>
    </row>
    <row r="35" spans="1:7" ht="11.25" customHeight="1">
      <c r="A35" t="s">
        <v>14</v>
      </c>
      <c r="B35" t="s">
        <v>3101</v>
      </c>
      <c r="C35" t="s">
        <v>3102</v>
      </c>
      <c r="D35" t="s">
        <v>3109</v>
      </c>
      <c r="E35" t="s">
        <v>3110</v>
      </c>
      <c r="F35" t="s">
        <v>3045</v>
      </c>
      <c r="G35" t="s">
        <v>1000</v>
      </c>
    </row>
    <row r="36" spans="1:7" ht="11.25" customHeight="1">
      <c r="A36" t="s">
        <v>14</v>
      </c>
      <c r="B36" t="s">
        <v>3101</v>
      </c>
      <c r="C36" t="s">
        <v>3102</v>
      </c>
      <c r="D36" t="s">
        <v>3111</v>
      </c>
      <c r="E36" t="s">
        <v>3112</v>
      </c>
      <c r="F36" t="s">
        <v>3049</v>
      </c>
      <c r="G36" t="s">
        <v>1004</v>
      </c>
    </row>
    <row r="37" spans="1:7" ht="11.25" customHeight="1">
      <c r="A37" t="s">
        <v>14</v>
      </c>
      <c r="B37" t="s">
        <v>3101</v>
      </c>
      <c r="C37" t="s">
        <v>3102</v>
      </c>
      <c r="D37" t="s">
        <v>3113</v>
      </c>
      <c r="E37" t="s">
        <v>3114</v>
      </c>
      <c r="F37" t="s">
        <v>3049</v>
      </c>
      <c r="G37" t="s">
        <v>1012</v>
      </c>
    </row>
    <row r="38" spans="1:7" ht="11.25" customHeight="1">
      <c r="A38" t="s">
        <v>14</v>
      </c>
      <c r="B38" t="s">
        <v>3101</v>
      </c>
      <c r="C38" t="s">
        <v>3102</v>
      </c>
      <c r="D38" t="s">
        <v>3115</v>
      </c>
      <c r="E38" t="s">
        <v>3116</v>
      </c>
      <c r="F38" t="s">
        <v>3049</v>
      </c>
      <c r="G38" t="s">
        <v>1019</v>
      </c>
    </row>
    <row r="39" spans="1:7" ht="11.25" customHeight="1">
      <c r="A39" t="s">
        <v>14</v>
      </c>
      <c r="B39" t="s">
        <v>3101</v>
      </c>
      <c r="C39" t="s">
        <v>3102</v>
      </c>
      <c r="D39" t="s">
        <v>3117</v>
      </c>
      <c r="E39" t="s">
        <v>3118</v>
      </c>
      <c r="F39" t="s">
        <v>3049</v>
      </c>
      <c r="G39" t="s">
        <v>1026</v>
      </c>
    </row>
    <row r="40" spans="1:7" ht="11.25" customHeight="1">
      <c r="A40" t="s">
        <v>14</v>
      </c>
      <c r="B40" t="s">
        <v>3119</v>
      </c>
      <c r="C40" t="s">
        <v>3120</v>
      </c>
      <c r="D40" t="s">
        <v>3119</v>
      </c>
      <c r="E40" t="s">
        <v>3120</v>
      </c>
      <c r="F40" t="s">
        <v>3074</v>
      </c>
      <c r="G40" t="s">
        <v>1032</v>
      </c>
    </row>
    <row r="41" spans="1:7" ht="11.25" customHeight="1">
      <c r="A41" t="s">
        <v>14</v>
      </c>
      <c r="B41" t="s">
        <v>3121</v>
      </c>
      <c r="C41" t="s">
        <v>3122</v>
      </c>
      <c r="D41" t="s">
        <v>3123</v>
      </c>
      <c r="E41" t="s">
        <v>3124</v>
      </c>
      <c r="F41" t="s">
        <v>3049</v>
      </c>
      <c r="G41" t="s">
        <v>1037</v>
      </c>
    </row>
    <row r="42" spans="1:7" ht="11.25" customHeight="1">
      <c r="A42" t="s">
        <v>14</v>
      </c>
      <c r="B42" t="s">
        <v>3121</v>
      </c>
      <c r="C42" t="s">
        <v>3122</v>
      </c>
      <c r="D42" t="s">
        <v>3125</v>
      </c>
      <c r="E42" t="s">
        <v>3126</v>
      </c>
      <c r="F42" t="s">
        <v>3049</v>
      </c>
      <c r="G42" t="s">
        <v>1044</v>
      </c>
    </row>
    <row r="43" spans="1:7" ht="11.25" customHeight="1">
      <c r="A43" t="s">
        <v>14</v>
      </c>
      <c r="B43" t="s">
        <v>3121</v>
      </c>
      <c r="C43" t="s">
        <v>3122</v>
      </c>
      <c r="D43" t="s">
        <v>3127</v>
      </c>
      <c r="E43" t="s">
        <v>3128</v>
      </c>
      <c r="F43" t="s">
        <v>3049</v>
      </c>
      <c r="G43" t="s">
        <v>1053</v>
      </c>
    </row>
    <row r="44" spans="1:7" ht="11.25" customHeight="1">
      <c r="A44" t="s">
        <v>14</v>
      </c>
      <c r="B44" t="s">
        <v>3121</v>
      </c>
      <c r="C44" t="s">
        <v>3122</v>
      </c>
      <c r="D44" t="s">
        <v>3129</v>
      </c>
      <c r="E44" t="s">
        <v>3130</v>
      </c>
      <c r="F44" t="s">
        <v>3049</v>
      </c>
      <c r="G44" t="s">
        <v>1059</v>
      </c>
    </row>
    <row r="45" spans="1:7" ht="11.25" customHeight="1">
      <c r="A45" t="s">
        <v>14</v>
      </c>
      <c r="B45" t="s">
        <v>3121</v>
      </c>
      <c r="C45" t="s">
        <v>3122</v>
      </c>
      <c r="D45" t="s">
        <v>3131</v>
      </c>
      <c r="E45" t="s">
        <v>3132</v>
      </c>
      <c r="F45" t="s">
        <v>3045</v>
      </c>
      <c r="G45" t="s">
        <v>1063</v>
      </c>
    </row>
    <row r="46" spans="1:7" ht="11.25" customHeight="1">
      <c r="A46" t="s">
        <v>14</v>
      </c>
      <c r="B46" t="s">
        <v>3121</v>
      </c>
      <c r="C46" t="s">
        <v>3122</v>
      </c>
      <c r="D46" t="s">
        <v>3133</v>
      </c>
      <c r="E46" t="s">
        <v>3134</v>
      </c>
      <c r="F46" t="s">
        <v>3049</v>
      </c>
      <c r="G46" t="s">
        <v>1070</v>
      </c>
    </row>
    <row r="47" spans="1:7" ht="11.25" customHeight="1">
      <c r="A47" t="s">
        <v>14</v>
      </c>
      <c r="B47" t="s">
        <v>3121</v>
      </c>
      <c r="C47" t="s">
        <v>3122</v>
      </c>
      <c r="D47" t="s">
        <v>3121</v>
      </c>
      <c r="E47" t="s">
        <v>3122</v>
      </c>
      <c r="F47" t="s">
        <v>3046</v>
      </c>
      <c r="G47" t="s">
        <v>1076</v>
      </c>
    </row>
    <row r="48" spans="1:7" ht="11.25" customHeight="1">
      <c r="A48" t="s">
        <v>14</v>
      </c>
      <c r="B48" t="s">
        <v>3121</v>
      </c>
      <c r="C48" t="s">
        <v>3122</v>
      </c>
      <c r="D48" t="s">
        <v>3135</v>
      </c>
      <c r="E48" t="s">
        <v>3136</v>
      </c>
      <c r="F48" t="s">
        <v>3045</v>
      </c>
      <c r="G48" t="s">
        <v>1082</v>
      </c>
    </row>
    <row r="49" spans="1:7" ht="11.25" customHeight="1">
      <c r="A49" t="s">
        <v>14</v>
      </c>
      <c r="B49" t="s">
        <v>3121</v>
      </c>
      <c r="C49" t="s">
        <v>3122</v>
      </c>
      <c r="D49" t="s">
        <v>3137</v>
      </c>
      <c r="E49" t="s">
        <v>3138</v>
      </c>
      <c r="F49" t="s">
        <v>3049</v>
      </c>
      <c r="G49" t="s">
        <v>1087</v>
      </c>
    </row>
    <row r="50" spans="1:7" ht="11.25" customHeight="1">
      <c r="A50" t="s">
        <v>14</v>
      </c>
      <c r="B50" t="s">
        <v>3139</v>
      </c>
      <c r="C50" t="s">
        <v>3140</v>
      </c>
      <c r="D50" t="s">
        <v>3139</v>
      </c>
      <c r="E50" t="s">
        <v>3140</v>
      </c>
      <c r="F50" t="s">
        <v>3074</v>
      </c>
      <c r="G50" t="s">
        <v>1092</v>
      </c>
    </row>
    <row r="51" spans="1:7" ht="11.25" customHeight="1">
      <c r="A51" t="s">
        <v>14</v>
      </c>
      <c r="B51" t="s">
        <v>3141</v>
      </c>
      <c r="C51" t="s">
        <v>3142</v>
      </c>
      <c r="D51" t="s">
        <v>3143</v>
      </c>
      <c r="E51" t="s">
        <v>3144</v>
      </c>
      <c r="F51" t="s">
        <v>3045</v>
      </c>
      <c r="G51" t="s">
        <v>1096</v>
      </c>
    </row>
    <row r="52" spans="1:7" ht="11.25" customHeight="1">
      <c r="A52" t="s">
        <v>14</v>
      </c>
      <c r="B52" t="s">
        <v>3141</v>
      </c>
      <c r="C52" t="s">
        <v>3142</v>
      </c>
      <c r="D52" t="s">
        <v>3145</v>
      </c>
      <c r="E52" t="s">
        <v>3146</v>
      </c>
      <c r="F52" t="s">
        <v>3049</v>
      </c>
      <c r="G52" t="s">
        <v>1098</v>
      </c>
    </row>
    <row r="53" spans="1:7" ht="11.25" customHeight="1">
      <c r="A53" t="s">
        <v>14</v>
      </c>
      <c r="B53" t="s">
        <v>3141</v>
      </c>
      <c r="C53" t="s">
        <v>3142</v>
      </c>
      <c r="D53" t="s">
        <v>3147</v>
      </c>
      <c r="E53" t="s">
        <v>3148</v>
      </c>
      <c r="F53" t="s">
        <v>3049</v>
      </c>
      <c r="G53" t="s">
        <v>1101</v>
      </c>
    </row>
    <row r="54" spans="1:7" ht="11.25" customHeight="1">
      <c r="A54" t="s">
        <v>14</v>
      </c>
      <c r="B54" t="s">
        <v>3141</v>
      </c>
      <c r="C54" t="s">
        <v>3142</v>
      </c>
      <c r="D54" t="s">
        <v>3149</v>
      </c>
      <c r="E54" t="s">
        <v>3150</v>
      </c>
      <c r="F54" t="s">
        <v>3049</v>
      </c>
      <c r="G54" t="s">
        <v>1105</v>
      </c>
    </row>
    <row r="55" spans="1:7" ht="11.25" customHeight="1">
      <c r="A55" t="s">
        <v>14</v>
      </c>
      <c r="B55" t="s">
        <v>3141</v>
      </c>
      <c r="C55" t="s">
        <v>3142</v>
      </c>
      <c r="D55" t="s">
        <v>3141</v>
      </c>
      <c r="E55" t="s">
        <v>3142</v>
      </c>
      <c r="F55" t="s">
        <v>3046</v>
      </c>
      <c r="G55" t="s">
        <v>1108</v>
      </c>
    </row>
    <row r="56" spans="1:7" ht="11.25" customHeight="1">
      <c r="A56" t="s">
        <v>14</v>
      </c>
      <c r="B56" t="s">
        <v>3141</v>
      </c>
      <c r="C56" t="s">
        <v>3142</v>
      </c>
      <c r="D56" t="s">
        <v>3151</v>
      </c>
      <c r="E56" t="s">
        <v>3152</v>
      </c>
      <c r="F56" t="s">
        <v>3045</v>
      </c>
      <c r="G56" t="s">
        <v>1111</v>
      </c>
    </row>
    <row r="57" spans="1:7" ht="11.25" customHeight="1">
      <c r="A57" t="s">
        <v>14</v>
      </c>
      <c r="B57" t="s">
        <v>3141</v>
      </c>
      <c r="C57" t="s">
        <v>3142</v>
      </c>
      <c r="D57" t="s">
        <v>3153</v>
      </c>
      <c r="E57" t="s">
        <v>3154</v>
      </c>
      <c r="F57" t="s">
        <v>3049</v>
      </c>
      <c r="G57" t="s">
        <v>1114</v>
      </c>
    </row>
    <row r="58" spans="1:7" ht="11.25" customHeight="1">
      <c r="A58" t="s">
        <v>14</v>
      </c>
      <c r="B58" t="s">
        <v>3141</v>
      </c>
      <c r="C58" t="s">
        <v>3142</v>
      </c>
      <c r="D58" t="s">
        <v>3155</v>
      </c>
      <c r="E58" t="s">
        <v>3156</v>
      </c>
      <c r="F58" t="s">
        <v>3045</v>
      </c>
      <c r="G58" t="s">
        <v>1118</v>
      </c>
    </row>
    <row r="59" spans="1:7" ht="11.25" customHeight="1">
      <c r="A59" t="s">
        <v>14</v>
      </c>
      <c r="B59" t="s">
        <v>3141</v>
      </c>
      <c r="C59" t="s">
        <v>3142</v>
      </c>
      <c r="D59" t="s">
        <v>3157</v>
      </c>
      <c r="E59" t="s">
        <v>3158</v>
      </c>
      <c r="F59" t="s">
        <v>3049</v>
      </c>
      <c r="G59" t="s">
        <v>1121</v>
      </c>
    </row>
    <row r="60" spans="1:7" ht="11.25" customHeight="1">
      <c r="A60" t="s">
        <v>14</v>
      </c>
      <c r="B60" t="s">
        <v>3141</v>
      </c>
      <c r="C60" t="s">
        <v>3142</v>
      </c>
      <c r="D60" t="s">
        <v>3159</v>
      </c>
      <c r="E60" t="s">
        <v>3160</v>
      </c>
      <c r="F60" t="s">
        <v>3045</v>
      </c>
      <c r="G60" t="s">
        <v>3161</v>
      </c>
    </row>
    <row r="61" spans="1:7" ht="11.25" customHeight="1">
      <c r="A61" t="s">
        <v>14</v>
      </c>
      <c r="B61" t="s">
        <v>3141</v>
      </c>
      <c r="C61" t="s">
        <v>3142</v>
      </c>
      <c r="D61" t="s">
        <v>3162</v>
      </c>
      <c r="E61" t="s">
        <v>3163</v>
      </c>
      <c r="F61" t="s">
        <v>3049</v>
      </c>
      <c r="G61" t="s">
        <v>3164</v>
      </c>
    </row>
    <row r="62" spans="1:7" ht="11.25" customHeight="1">
      <c r="A62" t="s">
        <v>14</v>
      </c>
      <c r="B62" t="s">
        <v>3141</v>
      </c>
      <c r="C62" t="s">
        <v>3142</v>
      </c>
      <c r="D62" t="s">
        <v>3165</v>
      </c>
      <c r="E62" t="s">
        <v>3166</v>
      </c>
      <c r="F62" t="s">
        <v>3049</v>
      </c>
      <c r="G62" t="s">
        <v>3167</v>
      </c>
    </row>
    <row r="63" spans="1:7" ht="11.25" customHeight="1">
      <c r="A63" t="s">
        <v>14</v>
      </c>
      <c r="B63" t="s">
        <v>111</v>
      </c>
      <c r="C63" t="s">
        <v>112</v>
      </c>
      <c r="D63" t="s">
        <v>111</v>
      </c>
      <c r="E63" t="s">
        <v>112</v>
      </c>
      <c r="F63" t="s">
        <v>3074</v>
      </c>
      <c r="G63" t="s">
        <v>110</v>
      </c>
    </row>
    <row r="64" spans="1:7" ht="11.25" customHeight="1">
      <c r="A64" t="s">
        <v>14</v>
      </c>
      <c r="B64" t="s">
        <v>3168</v>
      </c>
      <c r="C64" t="s">
        <v>3169</v>
      </c>
      <c r="D64" t="s">
        <v>3168</v>
      </c>
      <c r="E64" t="s">
        <v>3169</v>
      </c>
      <c r="F64" t="s">
        <v>3074</v>
      </c>
      <c r="G64" t="s">
        <v>3170</v>
      </c>
    </row>
    <row r="65" spans="1:7" ht="11.25" customHeight="1">
      <c r="A65" t="s">
        <v>14</v>
      </c>
      <c r="B65" t="s">
        <v>3171</v>
      </c>
      <c r="C65" t="s">
        <v>3172</v>
      </c>
      <c r="D65" t="s">
        <v>3171</v>
      </c>
      <c r="E65" t="s">
        <v>3172</v>
      </c>
      <c r="F65" t="s">
        <v>3074</v>
      </c>
      <c r="G65" t="s">
        <v>3173</v>
      </c>
    </row>
    <row r="66" spans="1:7" ht="11.25" customHeight="1">
      <c r="A66" t="s">
        <v>14</v>
      </c>
      <c r="B66" t="s">
        <v>3174</v>
      </c>
      <c r="C66" t="s">
        <v>3175</v>
      </c>
      <c r="D66" t="s">
        <v>3176</v>
      </c>
      <c r="E66" t="s">
        <v>3177</v>
      </c>
      <c r="F66" t="s">
        <v>3045</v>
      </c>
      <c r="G66" t="s">
        <v>1337</v>
      </c>
    </row>
    <row r="67" spans="1:7" ht="11.25" customHeight="1">
      <c r="A67" t="s">
        <v>14</v>
      </c>
      <c r="B67" t="s">
        <v>3174</v>
      </c>
      <c r="C67" t="s">
        <v>3175</v>
      </c>
      <c r="D67" t="s">
        <v>3178</v>
      </c>
      <c r="E67" t="s">
        <v>3179</v>
      </c>
      <c r="F67" t="s">
        <v>3049</v>
      </c>
      <c r="G67" t="s">
        <v>3180</v>
      </c>
    </row>
    <row r="68" spans="1:7" ht="11.25" customHeight="1">
      <c r="A68" t="s">
        <v>14</v>
      </c>
      <c r="B68" t="s">
        <v>3174</v>
      </c>
      <c r="C68" t="s">
        <v>3175</v>
      </c>
      <c r="D68" t="s">
        <v>3181</v>
      </c>
      <c r="E68" t="s">
        <v>3182</v>
      </c>
      <c r="F68" t="s">
        <v>3045</v>
      </c>
      <c r="G68" t="s">
        <v>1574</v>
      </c>
    </row>
    <row r="69" spans="1:7" ht="11.25" customHeight="1">
      <c r="A69" t="s">
        <v>14</v>
      </c>
      <c r="B69" t="s">
        <v>3174</v>
      </c>
      <c r="C69" t="s">
        <v>3175</v>
      </c>
      <c r="D69" t="s">
        <v>3183</v>
      </c>
      <c r="E69" t="s">
        <v>3184</v>
      </c>
      <c r="F69" t="s">
        <v>3045</v>
      </c>
      <c r="G69" t="s">
        <v>3185</v>
      </c>
    </row>
    <row r="70" spans="1:7" ht="11.25" customHeight="1">
      <c r="A70" t="s">
        <v>14</v>
      </c>
      <c r="B70" t="s">
        <v>3174</v>
      </c>
      <c r="C70" t="s">
        <v>3175</v>
      </c>
      <c r="D70" t="s">
        <v>3186</v>
      </c>
      <c r="E70" t="s">
        <v>3187</v>
      </c>
      <c r="F70" t="s">
        <v>3045</v>
      </c>
      <c r="G70" t="s">
        <v>3188</v>
      </c>
    </row>
    <row r="71" spans="1:7" ht="11.25" customHeight="1">
      <c r="A71" t="s">
        <v>14</v>
      </c>
      <c r="B71" t="s">
        <v>3174</v>
      </c>
      <c r="C71" t="s">
        <v>3175</v>
      </c>
      <c r="D71" t="s">
        <v>3189</v>
      </c>
      <c r="E71" t="s">
        <v>3190</v>
      </c>
      <c r="F71" t="s">
        <v>3045</v>
      </c>
      <c r="G71" t="s">
        <v>3191</v>
      </c>
    </row>
    <row r="72" spans="1:7" ht="11.25" customHeight="1">
      <c r="A72" t="s">
        <v>14</v>
      </c>
      <c r="B72" t="s">
        <v>3174</v>
      </c>
      <c r="C72" t="s">
        <v>3175</v>
      </c>
      <c r="D72" t="s">
        <v>3192</v>
      </c>
      <c r="E72" t="s">
        <v>3193</v>
      </c>
      <c r="F72" t="s">
        <v>3194</v>
      </c>
      <c r="G72" t="s">
        <v>3195</v>
      </c>
    </row>
    <row r="73" spans="1:7" ht="11.25" customHeight="1">
      <c r="A73" t="s">
        <v>14</v>
      </c>
      <c r="B73" t="s">
        <v>3174</v>
      </c>
      <c r="C73" t="s">
        <v>3175</v>
      </c>
      <c r="D73" t="s">
        <v>3174</v>
      </c>
      <c r="E73" t="s">
        <v>3175</v>
      </c>
      <c r="F73" t="s">
        <v>3046</v>
      </c>
      <c r="G73" t="s">
        <v>3196</v>
      </c>
    </row>
    <row r="74" spans="1:7" ht="11.25" customHeight="1">
      <c r="A74" t="s">
        <v>14</v>
      </c>
      <c r="B74" t="s">
        <v>3174</v>
      </c>
      <c r="C74" t="s">
        <v>3175</v>
      </c>
      <c r="D74" t="s">
        <v>3197</v>
      </c>
      <c r="E74" t="s">
        <v>3198</v>
      </c>
      <c r="F74" t="s">
        <v>3045</v>
      </c>
      <c r="G74" t="s">
        <v>3199</v>
      </c>
    </row>
    <row r="75" spans="1:7" ht="11.25" customHeight="1">
      <c r="A75" t="s">
        <v>14</v>
      </c>
      <c r="B75" t="s">
        <v>3200</v>
      </c>
      <c r="C75" t="s">
        <v>3201</v>
      </c>
      <c r="D75" t="s">
        <v>3200</v>
      </c>
      <c r="E75" t="s">
        <v>3201</v>
      </c>
      <c r="F75" t="s">
        <v>3074</v>
      </c>
      <c r="G75" t="s">
        <v>3202</v>
      </c>
    </row>
    <row r="76" spans="1:7" ht="11.25" customHeight="1">
      <c r="A76" t="s">
        <v>14</v>
      </c>
      <c r="B76" t="s">
        <v>3203</v>
      </c>
      <c r="C76" t="s">
        <v>3204</v>
      </c>
      <c r="D76" t="s">
        <v>3205</v>
      </c>
      <c r="E76" t="s">
        <v>3206</v>
      </c>
      <c r="F76" t="s">
        <v>3045</v>
      </c>
      <c r="G76" t="s">
        <v>3207</v>
      </c>
    </row>
    <row r="77" spans="1:7" ht="11.25" customHeight="1">
      <c r="A77" t="s">
        <v>14</v>
      </c>
      <c r="B77" t="s">
        <v>3203</v>
      </c>
      <c r="C77" t="s">
        <v>3204</v>
      </c>
      <c r="D77" t="s">
        <v>3208</v>
      </c>
      <c r="E77" t="s">
        <v>3209</v>
      </c>
      <c r="F77" t="s">
        <v>3045</v>
      </c>
      <c r="G77" t="s">
        <v>3210</v>
      </c>
    </row>
    <row r="78" spans="1:7" ht="11.25" customHeight="1">
      <c r="A78" t="s">
        <v>14</v>
      </c>
      <c r="B78" t="s">
        <v>3203</v>
      </c>
      <c r="C78" t="s">
        <v>3204</v>
      </c>
      <c r="D78" t="s">
        <v>3211</v>
      </c>
      <c r="E78" t="s">
        <v>3212</v>
      </c>
      <c r="F78" t="s">
        <v>3049</v>
      </c>
      <c r="G78" t="s">
        <v>3213</v>
      </c>
    </row>
    <row r="79" spans="1:7" ht="11.25" customHeight="1">
      <c r="A79" t="s">
        <v>14</v>
      </c>
      <c r="B79" t="s">
        <v>3203</v>
      </c>
      <c r="C79" t="s">
        <v>3204</v>
      </c>
      <c r="D79" t="s">
        <v>3214</v>
      </c>
      <c r="E79" t="s">
        <v>3215</v>
      </c>
      <c r="F79" t="s">
        <v>3049</v>
      </c>
      <c r="G79" t="s">
        <v>3216</v>
      </c>
    </row>
    <row r="80" spans="1:7" ht="11.25" customHeight="1">
      <c r="A80" t="s">
        <v>14</v>
      </c>
      <c r="B80" t="s">
        <v>3203</v>
      </c>
      <c r="C80" t="s">
        <v>3204</v>
      </c>
      <c r="D80" t="s">
        <v>3217</v>
      </c>
      <c r="E80" t="s">
        <v>3218</v>
      </c>
      <c r="F80" t="s">
        <v>3194</v>
      </c>
      <c r="G80" t="s">
        <v>3219</v>
      </c>
    </row>
    <row r="81" spans="1:7" ht="11.25" customHeight="1">
      <c r="A81" t="s">
        <v>14</v>
      </c>
      <c r="B81" t="s">
        <v>3203</v>
      </c>
      <c r="C81" t="s">
        <v>3204</v>
      </c>
      <c r="D81" t="s">
        <v>3220</v>
      </c>
      <c r="E81" t="s">
        <v>3221</v>
      </c>
      <c r="F81" t="s">
        <v>3049</v>
      </c>
      <c r="G81" t="s">
        <v>3222</v>
      </c>
    </row>
    <row r="82" spans="1:7" ht="11.25" customHeight="1">
      <c r="A82" t="s">
        <v>14</v>
      </c>
      <c r="B82" t="s">
        <v>3203</v>
      </c>
      <c r="C82" t="s">
        <v>3204</v>
      </c>
      <c r="D82" t="s">
        <v>3223</v>
      </c>
      <c r="E82" t="s">
        <v>3224</v>
      </c>
      <c r="F82" t="s">
        <v>3049</v>
      </c>
      <c r="G82" t="s">
        <v>3225</v>
      </c>
    </row>
    <row r="83" spans="1:7" ht="11.25" customHeight="1">
      <c r="A83" t="s">
        <v>14</v>
      </c>
      <c r="B83" t="s">
        <v>3203</v>
      </c>
      <c r="C83" t="s">
        <v>3204</v>
      </c>
      <c r="D83" t="s">
        <v>3226</v>
      </c>
      <c r="E83" t="s">
        <v>3227</v>
      </c>
      <c r="F83" t="s">
        <v>3049</v>
      </c>
      <c r="G83" t="s">
        <v>3228</v>
      </c>
    </row>
    <row r="84" spans="1:7" ht="11.25" customHeight="1">
      <c r="A84" t="s">
        <v>14</v>
      </c>
      <c r="B84" t="s">
        <v>3203</v>
      </c>
      <c r="C84" t="s">
        <v>3204</v>
      </c>
      <c r="D84" t="s">
        <v>3203</v>
      </c>
      <c r="E84" t="s">
        <v>3204</v>
      </c>
      <c r="F84" t="s">
        <v>3046</v>
      </c>
      <c r="G84" t="s">
        <v>3229</v>
      </c>
    </row>
    <row r="85" spans="1:7" ht="11.25" customHeight="1">
      <c r="A85" t="s">
        <v>14</v>
      </c>
      <c r="B85" t="s">
        <v>3203</v>
      </c>
      <c r="C85" t="s">
        <v>3204</v>
      </c>
      <c r="D85" t="s">
        <v>3230</v>
      </c>
      <c r="E85" t="s">
        <v>3231</v>
      </c>
      <c r="F85" t="s">
        <v>3049</v>
      </c>
      <c r="G85" t="s">
        <v>3232</v>
      </c>
    </row>
    <row r="86" spans="1:7" ht="11.25" customHeight="1">
      <c r="A86" t="s">
        <v>14</v>
      </c>
      <c r="B86" t="s">
        <v>3203</v>
      </c>
      <c r="C86" t="s">
        <v>3204</v>
      </c>
      <c r="D86" t="s">
        <v>3233</v>
      </c>
      <c r="E86" t="s">
        <v>3234</v>
      </c>
      <c r="F86" t="s">
        <v>3049</v>
      </c>
      <c r="G86" t="s">
        <v>3235</v>
      </c>
    </row>
    <row r="87" spans="1:7" ht="11.25" customHeight="1">
      <c r="A87" t="s">
        <v>14</v>
      </c>
      <c r="B87" t="s">
        <v>3203</v>
      </c>
      <c r="C87" t="s">
        <v>3204</v>
      </c>
      <c r="D87" t="s">
        <v>3236</v>
      </c>
      <c r="E87" t="s">
        <v>3237</v>
      </c>
      <c r="F87" t="s">
        <v>3049</v>
      </c>
      <c r="G87" t="s">
        <v>3238</v>
      </c>
    </row>
    <row r="88" spans="1:7" ht="11.25" customHeight="1">
      <c r="A88" t="s">
        <v>14</v>
      </c>
      <c r="B88" t="s">
        <v>3203</v>
      </c>
      <c r="C88" t="s">
        <v>3204</v>
      </c>
      <c r="D88" t="s">
        <v>3239</v>
      </c>
      <c r="E88" t="s">
        <v>3240</v>
      </c>
      <c r="F88" t="s">
        <v>3049</v>
      </c>
      <c r="G88" t="s">
        <v>3241</v>
      </c>
    </row>
    <row r="89" spans="1:7" ht="11.25" customHeight="1">
      <c r="A89" t="s">
        <v>14</v>
      </c>
      <c r="B89" t="s">
        <v>3203</v>
      </c>
      <c r="C89" t="s">
        <v>3204</v>
      </c>
      <c r="D89" t="s">
        <v>3242</v>
      </c>
      <c r="E89" t="s">
        <v>3243</v>
      </c>
      <c r="F89" t="s">
        <v>3045</v>
      </c>
      <c r="G89" t="s">
        <v>3244</v>
      </c>
    </row>
    <row r="90" spans="1:7" ht="11.25" customHeight="1">
      <c r="A90" t="s">
        <v>14</v>
      </c>
      <c r="B90" t="s">
        <v>3245</v>
      </c>
      <c r="C90" t="s">
        <v>3246</v>
      </c>
      <c r="D90" t="s">
        <v>3245</v>
      </c>
      <c r="E90" t="s">
        <v>3246</v>
      </c>
      <c r="F90" t="s">
        <v>3074</v>
      </c>
      <c r="G90" t="s">
        <v>3247</v>
      </c>
    </row>
    <row r="91" spans="1:7" ht="11.25" customHeight="1">
      <c r="A91" t="s">
        <v>14</v>
      </c>
      <c r="B91" t="s">
        <v>3248</v>
      </c>
      <c r="C91" t="s">
        <v>3249</v>
      </c>
      <c r="D91" t="s">
        <v>3248</v>
      </c>
      <c r="E91" t="s">
        <v>3249</v>
      </c>
      <c r="F91" t="s">
        <v>3074</v>
      </c>
      <c r="G91" t="s">
        <v>3250</v>
      </c>
    </row>
    <row r="92" spans="1:7" ht="11.25" customHeight="1">
      <c r="A92" t="s">
        <v>14</v>
      </c>
      <c r="B92" t="s">
        <v>3251</v>
      </c>
      <c r="C92" t="s">
        <v>3252</v>
      </c>
      <c r="D92" t="s">
        <v>3253</v>
      </c>
      <c r="E92" t="s">
        <v>3254</v>
      </c>
      <c r="F92" t="s">
        <v>3049</v>
      </c>
      <c r="G92" t="s">
        <v>3255</v>
      </c>
    </row>
    <row r="93" spans="1:7" ht="11.25" customHeight="1">
      <c r="A93" t="s">
        <v>14</v>
      </c>
      <c r="B93" t="s">
        <v>3251</v>
      </c>
      <c r="C93" t="s">
        <v>3252</v>
      </c>
      <c r="D93" t="s">
        <v>3256</v>
      </c>
      <c r="E93" t="s">
        <v>3257</v>
      </c>
      <c r="F93" t="s">
        <v>3049</v>
      </c>
      <c r="G93" t="s">
        <v>3258</v>
      </c>
    </row>
    <row r="94" spans="1:7" ht="11.25" customHeight="1">
      <c r="A94" t="s">
        <v>14</v>
      </c>
      <c r="B94" t="s">
        <v>3251</v>
      </c>
      <c r="C94" t="s">
        <v>3252</v>
      </c>
      <c r="D94" t="s">
        <v>3259</v>
      </c>
      <c r="E94" t="s">
        <v>3260</v>
      </c>
      <c r="F94" t="s">
        <v>3049</v>
      </c>
      <c r="G94" t="s">
        <v>3261</v>
      </c>
    </row>
    <row r="95" spans="1:7" ht="11.25" customHeight="1">
      <c r="A95" t="s">
        <v>14</v>
      </c>
      <c r="B95" t="s">
        <v>3251</v>
      </c>
      <c r="C95" t="s">
        <v>3252</v>
      </c>
      <c r="D95" t="s">
        <v>3262</v>
      </c>
      <c r="E95" t="s">
        <v>3263</v>
      </c>
      <c r="F95" t="s">
        <v>3049</v>
      </c>
      <c r="G95" t="s">
        <v>3264</v>
      </c>
    </row>
    <row r="96" spans="1:7" ht="11.25" customHeight="1">
      <c r="A96" t="s">
        <v>14</v>
      </c>
      <c r="B96" t="s">
        <v>3251</v>
      </c>
      <c r="C96" t="s">
        <v>3252</v>
      </c>
      <c r="D96" t="s">
        <v>3265</v>
      </c>
      <c r="E96" t="s">
        <v>3266</v>
      </c>
      <c r="F96" t="s">
        <v>3049</v>
      </c>
      <c r="G96" t="s">
        <v>3267</v>
      </c>
    </row>
    <row r="97" spans="1:7" ht="11.25" customHeight="1">
      <c r="A97" t="s">
        <v>14</v>
      </c>
      <c r="B97" t="s">
        <v>3251</v>
      </c>
      <c r="C97" t="s">
        <v>3252</v>
      </c>
      <c r="D97" t="s">
        <v>3268</v>
      </c>
      <c r="E97" t="s">
        <v>3269</v>
      </c>
      <c r="F97" t="s">
        <v>3049</v>
      </c>
      <c r="G97" t="s">
        <v>3270</v>
      </c>
    </row>
    <row r="98" spans="1:7" ht="11.25" customHeight="1">
      <c r="A98" t="s">
        <v>14</v>
      </c>
      <c r="B98" t="s">
        <v>3251</v>
      </c>
      <c r="C98" t="s">
        <v>3252</v>
      </c>
      <c r="D98" t="s">
        <v>3271</v>
      </c>
      <c r="E98" t="s">
        <v>3272</v>
      </c>
      <c r="F98" t="s">
        <v>3049</v>
      </c>
      <c r="G98" t="s">
        <v>3273</v>
      </c>
    </row>
    <row r="99" spans="1:7" ht="11.25" customHeight="1">
      <c r="A99" t="s">
        <v>14</v>
      </c>
      <c r="B99" t="s">
        <v>3251</v>
      </c>
      <c r="C99" t="s">
        <v>3252</v>
      </c>
      <c r="D99" t="s">
        <v>3274</v>
      </c>
      <c r="E99" t="s">
        <v>3275</v>
      </c>
      <c r="F99" t="s">
        <v>3049</v>
      </c>
      <c r="G99" t="s">
        <v>3276</v>
      </c>
    </row>
    <row r="100" spans="1:7" ht="11.25" customHeight="1">
      <c r="A100" t="s">
        <v>14</v>
      </c>
      <c r="B100" t="s">
        <v>3251</v>
      </c>
      <c r="C100" t="s">
        <v>3252</v>
      </c>
      <c r="D100" t="s">
        <v>3277</v>
      </c>
      <c r="E100" t="s">
        <v>3278</v>
      </c>
      <c r="F100" t="s">
        <v>3049</v>
      </c>
      <c r="G100" t="s">
        <v>3279</v>
      </c>
    </row>
    <row r="101" spans="1:7" ht="11.25" customHeight="1">
      <c r="A101" t="s">
        <v>14</v>
      </c>
      <c r="B101" t="s">
        <v>3251</v>
      </c>
      <c r="C101" t="s">
        <v>3252</v>
      </c>
      <c r="D101" t="s">
        <v>3251</v>
      </c>
      <c r="E101" t="s">
        <v>3252</v>
      </c>
      <c r="F101" t="s">
        <v>3046</v>
      </c>
      <c r="G101" t="s">
        <v>3280</v>
      </c>
    </row>
    <row r="102" spans="1:7" ht="11.25" customHeight="1">
      <c r="A102" t="s">
        <v>14</v>
      </c>
      <c r="B102" t="s">
        <v>3251</v>
      </c>
      <c r="C102" t="s">
        <v>3252</v>
      </c>
      <c r="D102" t="s">
        <v>3281</v>
      </c>
      <c r="E102" t="s">
        <v>3282</v>
      </c>
      <c r="F102" t="s">
        <v>3049</v>
      </c>
      <c r="G102" t="s">
        <v>3283</v>
      </c>
    </row>
    <row r="103" spans="1:7" ht="11.25" customHeight="1">
      <c r="A103" t="s">
        <v>14</v>
      </c>
      <c r="B103" t="s">
        <v>3251</v>
      </c>
      <c r="C103" t="s">
        <v>3252</v>
      </c>
      <c r="D103" t="s">
        <v>3284</v>
      </c>
      <c r="E103" t="s">
        <v>3285</v>
      </c>
      <c r="F103" t="s">
        <v>3049</v>
      </c>
      <c r="G103" t="s">
        <v>3286</v>
      </c>
    </row>
    <row r="104" spans="1:7" ht="11.25" customHeight="1">
      <c r="A104" t="s">
        <v>14</v>
      </c>
      <c r="B104" t="s">
        <v>3251</v>
      </c>
      <c r="C104" t="s">
        <v>3252</v>
      </c>
      <c r="D104" t="s">
        <v>3287</v>
      </c>
      <c r="E104" t="s">
        <v>3288</v>
      </c>
      <c r="F104" t="s">
        <v>3049</v>
      </c>
      <c r="G104" t="s">
        <v>3289</v>
      </c>
    </row>
    <row r="105" spans="1:7" ht="11.25" customHeight="1">
      <c r="A105" t="s">
        <v>14</v>
      </c>
      <c r="B105" t="s">
        <v>3290</v>
      </c>
      <c r="C105" t="s">
        <v>3291</v>
      </c>
      <c r="D105" t="s">
        <v>3290</v>
      </c>
      <c r="E105" t="s">
        <v>3291</v>
      </c>
      <c r="F105" t="s">
        <v>3074</v>
      </c>
      <c r="G105" t="s">
        <v>3292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4DEC-FE53-D92E-1A82-A4CA389DB6D9}">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3332</v>
      </c>
      <c r="B1" s="31" t="s">
        <v>3333</v>
      </c>
      <c r="C1" s="31" t="s">
        <v>567</v>
      </c>
    </row>
    <row r="2" spans="1:3" ht="11.25" customHeight="1">
      <c r="A2" s="31">
        <v>4189678</v>
      </c>
      <c r="B2" s="31" t="s">
        <v>3334</v>
      </c>
      <c r="C2" s="31" t="s">
        <v>3335</v>
      </c>
    </row>
    <row r="3" spans="1:3" ht="11.25" customHeight="1">
      <c r="A3" s="31">
        <v>4190415</v>
      </c>
      <c r="B3" s="31" t="s">
        <v>3336</v>
      </c>
      <c r="C3" s="31" t="s">
        <v>3335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3401A-9205-3731-E451-7064F82943CC}">
  <sheetPr>
    <tabColor rgb="FFFFCC99"/>
  </sheetPr>
  <dimension ref="A1:E8"/>
  <sheetViews>
    <sheetView showGridLines="0" workbookViewId="0"/>
  </sheetViews>
  <sheetFormatPr defaultColWidth="9.140625" defaultRowHeight="15" customHeight="1"/>
  <cols>
    <col min="1" max="1" width="38.42578125" style="72" customWidth="1"/>
    <col min="2" max="5" width="9.140625" style="72"/>
  </cols>
  <sheetData>
    <row r="1" spans="1:5" ht="15" customHeight="1">
      <c r="A1" s="73" t="s">
        <v>3337</v>
      </c>
      <c r="B1" s="73" t="s">
        <v>3338</v>
      </c>
      <c r="C1" s="73"/>
      <c r="D1" s="73"/>
      <c r="E1" s="73"/>
    </row>
    <row r="2" spans="1:5" ht="15" customHeight="1">
      <c r="A2" s="73"/>
      <c r="B2" s="73"/>
      <c r="C2" s="73"/>
      <c r="D2" s="73"/>
      <c r="E2" s="73"/>
    </row>
    <row r="3" spans="1:5" ht="15" customHeight="1">
      <c r="A3" s="73"/>
      <c r="B3" s="73"/>
      <c r="C3" s="73"/>
      <c r="D3" s="73"/>
      <c r="E3" s="73"/>
    </row>
    <row r="4" spans="1:5" ht="15" customHeight="1">
      <c r="A4" s="73"/>
      <c r="B4" s="73"/>
      <c r="C4" s="73"/>
      <c r="D4" s="73"/>
      <c r="E4" s="73"/>
    </row>
    <row r="5" spans="1:5" ht="15" customHeight="1">
      <c r="A5" s="73"/>
      <c r="B5" s="73"/>
      <c r="C5" s="73"/>
      <c r="D5" s="73"/>
      <c r="E5" s="73"/>
    </row>
    <row r="6" spans="1:5" ht="15" customHeight="1">
      <c r="A6" s="73"/>
      <c r="B6" s="73"/>
      <c r="C6" s="73"/>
      <c r="D6" s="73"/>
      <c r="E6" s="73"/>
    </row>
    <row r="7" spans="1:5" ht="15" customHeight="1">
      <c r="A7" s="73"/>
      <c r="B7" s="73"/>
      <c r="C7" s="73"/>
      <c r="D7" s="73"/>
      <c r="E7" s="73"/>
    </row>
    <row r="8" spans="1:5" ht="15" customHeight="1">
      <c r="A8" s="73"/>
      <c r="B8" s="73"/>
      <c r="C8" s="73"/>
      <c r="D8" s="73"/>
      <c r="E8" s="73"/>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C4B03-FFBA-9EAE-99B9-457EBF7B652F}">
  <sheetPr>
    <tabColor rgb="FFFFCC99"/>
  </sheetPr>
  <dimension ref="A1:B15"/>
  <sheetViews>
    <sheetView workbookViewId="0"/>
  </sheetViews>
  <sheetFormatPr defaultRowHeight="11.25" customHeight="1"/>
  <sheetData>
    <row r="1" spans="1:2" ht="11.25" customHeight="1">
      <c r="A1" t="s">
        <v>3339</v>
      </c>
      <c r="B1" t="b">
        <v>1</v>
      </c>
    </row>
    <row r="2" spans="1:2" ht="11.25" customHeight="1">
      <c r="A2" t="s">
        <v>3340</v>
      </c>
      <c r="B2" t="b">
        <v>0</v>
      </c>
    </row>
    <row r="3" spans="1:2" ht="11.25" customHeight="1">
      <c r="A3" t="s">
        <v>3341</v>
      </c>
      <c r="B3" t="b">
        <v>0</v>
      </c>
    </row>
    <row r="4" spans="1:2" ht="11.25" customHeight="1">
      <c r="A4" t="s">
        <v>3342</v>
      </c>
      <c r="B4" t="b">
        <v>1</v>
      </c>
    </row>
    <row r="5" spans="1:2" ht="11.25" customHeight="1">
      <c r="A5" t="s">
        <v>3343</v>
      </c>
      <c r="B5" t="b">
        <v>0</v>
      </c>
    </row>
    <row r="6" spans="1:2" ht="11.25" customHeight="1">
      <c r="A6" t="s">
        <v>3344</v>
      </c>
      <c r="B6" t="b">
        <v>0</v>
      </c>
    </row>
    <row r="7" spans="1:2" ht="11.25" customHeight="1">
      <c r="A7" t="s">
        <v>3345</v>
      </c>
      <c r="B7" t="b">
        <v>0</v>
      </c>
    </row>
    <row r="8" spans="1:2" ht="11.25" customHeight="1">
      <c r="A8" t="s">
        <v>3346</v>
      </c>
      <c r="B8" t="b">
        <v>0</v>
      </c>
    </row>
    <row r="9" spans="1:2" ht="11.25" customHeight="1">
      <c r="A9" t="s">
        <v>3347</v>
      </c>
      <c r="B9" t="b">
        <v>0</v>
      </c>
    </row>
    <row r="10" spans="1:2" ht="11.25" customHeight="1">
      <c r="A10" t="s">
        <v>3348</v>
      </c>
      <c r="B10" t="b">
        <v>0</v>
      </c>
    </row>
    <row r="11" spans="1:2" ht="11.25" customHeight="1">
      <c r="A11" t="s">
        <v>3349</v>
      </c>
      <c r="B11" t="b">
        <v>1</v>
      </c>
    </row>
    <row r="12" spans="1:2" ht="11.25" customHeight="1">
      <c r="A12" t="s">
        <v>3350</v>
      </c>
      <c r="B12" t="b">
        <v>0</v>
      </c>
    </row>
    <row r="13" spans="1:2" ht="11.25" customHeight="1">
      <c r="A13" t="s">
        <v>3351</v>
      </c>
      <c r="B13" t="b">
        <v>0</v>
      </c>
    </row>
    <row r="14" spans="1:2" ht="11.25" customHeight="1">
      <c r="A14" t="s">
        <v>3352</v>
      </c>
      <c r="B14" t="b">
        <v>0</v>
      </c>
    </row>
    <row r="15" spans="1:2" ht="11.25" customHeight="1">
      <c r="A15" t="s">
        <v>3353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BC67B-EF9F-8EDF-0715-DF3A79B36A5D}">
  <sheetPr>
    <tabColor rgb="FFFFCC99"/>
  </sheetPr>
  <dimension ref="A1"/>
  <sheetViews>
    <sheetView showGridLines="0" workbookViewId="0"/>
  </sheetViews>
  <sheetFormatPr defaultColWidth="9.140625" defaultRowHeight="12.75" customHeight="1"/>
  <cols>
    <col min="1" max="1" width="9.140625" style="26"/>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607D-C28C-321D-EEAA-B0D6972C6BF1}">
  <sheetPr>
    <tabColor rgb="FFFFCC99"/>
  </sheetPr>
  <dimension ref="A1:B70"/>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3" t="s">
        <v>3354</v>
      </c>
      <c r="B1" s="3" t="s">
        <v>3355</v>
      </c>
    </row>
    <row r="2" spans="1:2" ht="11.25" customHeight="1">
      <c r="A2" t="s">
        <v>3356</v>
      </c>
      <c r="B2" t="s">
        <v>3357</v>
      </c>
    </row>
    <row r="3" spans="1:2" ht="11.25" customHeight="1">
      <c r="A3" t="s">
        <v>3358</v>
      </c>
      <c r="B3" t="s">
        <v>3359</v>
      </c>
    </row>
    <row r="4" spans="1:2" ht="11.25" customHeight="1">
      <c r="A4" t="s">
        <v>3360</v>
      </c>
      <c r="B4" t="s">
        <v>3361</v>
      </c>
    </row>
    <row r="5" spans="1:2" ht="11.25" customHeight="1">
      <c r="A5" t="s">
        <v>3362</v>
      </c>
      <c r="B5" t="s">
        <v>3363</v>
      </c>
    </row>
    <row r="6" spans="1:2" ht="11.25" customHeight="1">
      <c r="A6" t="s">
        <v>3364</v>
      </c>
      <c r="B6" t="s">
        <v>3365</v>
      </c>
    </row>
    <row r="7" spans="1:2" ht="11.25" customHeight="1">
      <c r="A7" t="s">
        <v>3366</v>
      </c>
      <c r="B7" t="s">
        <v>3367</v>
      </c>
    </row>
    <row r="8" spans="1:2" ht="11.25" customHeight="1">
      <c r="A8" t="s">
        <v>3368</v>
      </c>
      <c r="B8" t="s">
        <v>3369</v>
      </c>
    </row>
    <row r="9" spans="1:2" ht="11.25" customHeight="1">
      <c r="A9" t="s">
        <v>3370</v>
      </c>
      <c r="B9" t="s">
        <v>3371</v>
      </c>
    </row>
    <row r="10" spans="1:2" ht="11.25" customHeight="1">
      <c r="A10" t="s">
        <v>3372</v>
      </c>
      <c r="B10" t="s">
        <v>3373</v>
      </c>
    </row>
    <row r="11" spans="1:2" ht="11.25" customHeight="1">
      <c r="A11" t="s">
        <v>3374</v>
      </c>
      <c r="B11" t="s">
        <v>3375</v>
      </c>
    </row>
    <row r="12" spans="1:2" ht="11.25" customHeight="1">
      <c r="A12" t="s">
        <v>3376</v>
      </c>
      <c r="B12" t="s">
        <v>3377</v>
      </c>
    </row>
    <row r="13" spans="1:2" ht="11.25" customHeight="1">
      <c r="A13" t="s">
        <v>3378</v>
      </c>
      <c r="B13" t="s">
        <v>3379</v>
      </c>
    </row>
    <row r="14" spans="1:2" ht="11.25" customHeight="1">
      <c r="A14" t="s">
        <v>3380</v>
      </c>
      <c r="B14" t="s">
        <v>3381</v>
      </c>
    </row>
    <row r="15" spans="1:2" ht="11.25" customHeight="1">
      <c r="A15" t="s">
        <v>3382</v>
      </c>
      <c r="B15" t="s">
        <v>3383</v>
      </c>
    </row>
    <row r="16" spans="1:2" ht="11.25" customHeight="1">
      <c r="A16" t="s">
        <v>3384</v>
      </c>
      <c r="B16" t="s">
        <v>3385</v>
      </c>
    </row>
    <row r="17" spans="1:2" ht="11.25" customHeight="1">
      <c r="A17" t="s">
        <v>3386</v>
      </c>
      <c r="B17" t="s">
        <v>3387</v>
      </c>
    </row>
    <row r="18" spans="1:2" ht="11.25" customHeight="1">
      <c r="A18" t="s">
        <v>3388</v>
      </c>
      <c r="B18" t="s">
        <v>3389</v>
      </c>
    </row>
    <row r="19" spans="1:2" ht="11.25" customHeight="1">
      <c r="A19" t="s">
        <v>3390</v>
      </c>
      <c r="B19" t="s">
        <v>3391</v>
      </c>
    </row>
    <row r="20" spans="1:2" ht="11.25" customHeight="1">
      <c r="A20" t="s">
        <v>3392</v>
      </c>
      <c r="B20" t="s">
        <v>3393</v>
      </c>
    </row>
    <row r="21" spans="1:2" ht="11.25" customHeight="1">
      <c r="A21" t="s">
        <v>3394</v>
      </c>
      <c r="B21" t="s">
        <v>3395</v>
      </c>
    </row>
    <row r="22" spans="1:2" ht="11.25" customHeight="1">
      <c r="A22" t="s">
        <v>3396</v>
      </c>
      <c r="B22" t="s">
        <v>3397</v>
      </c>
    </row>
    <row r="23" spans="1:2" ht="11.25" customHeight="1">
      <c r="A23" t="s">
        <v>3398</v>
      </c>
      <c r="B23" t="s">
        <v>3399</v>
      </c>
    </row>
    <row r="24" spans="1:2" ht="11.25" customHeight="1">
      <c r="A24" t="s">
        <v>3400</v>
      </c>
      <c r="B24" t="s">
        <v>3401</v>
      </c>
    </row>
    <row r="25" spans="1:2" ht="11.25" customHeight="1">
      <c r="A25" t="s">
        <v>3402</v>
      </c>
      <c r="B25" t="s">
        <v>3403</v>
      </c>
    </row>
    <row r="26" spans="1:2" ht="11.25" customHeight="1">
      <c r="A26" t="s">
        <v>3404</v>
      </c>
      <c r="B26" t="s">
        <v>3405</v>
      </c>
    </row>
    <row r="27" spans="1:2" ht="11.25" customHeight="1">
      <c r="A27" t="s">
        <v>3406</v>
      </c>
      <c r="B27" t="s">
        <v>3407</v>
      </c>
    </row>
    <row r="28" spans="1:2" ht="11.25" customHeight="1">
      <c r="A28" t="s">
        <v>3408</v>
      </c>
      <c r="B28" t="s">
        <v>3409</v>
      </c>
    </row>
    <row r="29" spans="1:2" ht="11.25" customHeight="1">
      <c r="A29" t="s">
        <v>3410</v>
      </c>
      <c r="B29" t="s">
        <v>3411</v>
      </c>
    </row>
    <row r="30" spans="1:2" ht="11.25" customHeight="1">
      <c r="A30" t="s">
        <v>3412</v>
      </c>
      <c r="B30" t="s">
        <v>3413</v>
      </c>
    </row>
    <row r="31" spans="1:2" ht="11.25" customHeight="1">
      <c r="A31" t="s">
        <v>3414</v>
      </c>
      <c r="B31" t="s">
        <v>3415</v>
      </c>
    </row>
    <row r="32" spans="1:2" ht="11.25" customHeight="1">
      <c r="A32" t="s">
        <v>3416</v>
      </c>
      <c r="B32" t="s">
        <v>3417</v>
      </c>
    </row>
    <row r="33" spans="1:2" ht="11.25" customHeight="1">
      <c r="A33" t="s">
        <v>3418</v>
      </c>
      <c r="B33" t="s">
        <v>3419</v>
      </c>
    </row>
    <row r="34" spans="1:2" ht="11.25" customHeight="1">
      <c r="A34" t="s">
        <v>3420</v>
      </c>
      <c r="B34" t="s">
        <v>3421</v>
      </c>
    </row>
    <row r="35" spans="1:2" ht="11.25" customHeight="1">
      <c r="A35" t="s">
        <v>3422</v>
      </c>
      <c r="B35" t="s">
        <v>3423</v>
      </c>
    </row>
    <row r="36" spans="1:2" ht="11.25" customHeight="1">
      <c r="A36" t="s">
        <v>3424</v>
      </c>
      <c r="B36" t="s">
        <v>3425</v>
      </c>
    </row>
    <row r="37" spans="1:2" ht="11.25" customHeight="1">
      <c r="A37" t="s">
        <v>3426</v>
      </c>
      <c r="B37" t="s">
        <v>3427</v>
      </c>
    </row>
    <row r="38" spans="1:2" ht="11.25" customHeight="1">
      <c r="A38" t="s">
        <v>3428</v>
      </c>
      <c r="B38" t="s">
        <v>3429</v>
      </c>
    </row>
    <row r="39" spans="1:2" ht="11.25" customHeight="1">
      <c r="A39" t="s">
        <v>3430</v>
      </c>
      <c r="B39" t="s">
        <v>3431</v>
      </c>
    </row>
    <row r="40" spans="1:2" ht="11.25" customHeight="1">
      <c r="A40" t="s">
        <v>3432</v>
      </c>
      <c r="B40" t="s">
        <v>3433</v>
      </c>
    </row>
    <row r="41" spans="1:2" ht="11.25" customHeight="1">
      <c r="A41" t="s">
        <v>3434</v>
      </c>
      <c r="B41" t="s">
        <v>3435</v>
      </c>
    </row>
    <row r="42" spans="1:2" ht="11.25" customHeight="1">
      <c r="A42" t="s">
        <v>3436</v>
      </c>
      <c r="B42" t="s">
        <v>3437</v>
      </c>
    </row>
    <row r="43" spans="1:2" ht="11.25" customHeight="1">
      <c r="A43" t="s">
        <v>3438</v>
      </c>
      <c r="B43" t="s">
        <v>3439</v>
      </c>
    </row>
    <row r="44" spans="1:2" ht="11.25" customHeight="1">
      <c r="A44" t="s">
        <v>3440</v>
      </c>
      <c r="B44" t="s">
        <v>3441</v>
      </c>
    </row>
    <row r="45" spans="1:2" ht="11.25" customHeight="1">
      <c r="A45" t="s">
        <v>3442</v>
      </c>
      <c r="B45" t="s">
        <v>3443</v>
      </c>
    </row>
    <row r="46" spans="1:2" ht="11.25" customHeight="1">
      <c r="A46" t="s">
        <v>3444</v>
      </c>
      <c r="B46" t="s">
        <v>3445</v>
      </c>
    </row>
    <row r="47" spans="1:2" ht="11.25" customHeight="1">
      <c r="A47" t="s">
        <v>3446</v>
      </c>
      <c r="B47" t="s">
        <v>3447</v>
      </c>
    </row>
    <row r="48" spans="1:2" ht="11.25" customHeight="1">
      <c r="A48" t="s">
        <v>3448</v>
      </c>
      <c r="B48" t="s">
        <v>3449</v>
      </c>
    </row>
    <row r="49" spans="1:2" ht="11.25" customHeight="1">
      <c r="A49" t="s">
        <v>3450</v>
      </c>
      <c r="B49" t="s">
        <v>3451</v>
      </c>
    </row>
    <row r="50" spans="1:2" ht="11.25" customHeight="1">
      <c r="A50" t="s">
        <v>3452</v>
      </c>
      <c r="B50" t="s">
        <v>3453</v>
      </c>
    </row>
    <row r="51" spans="1:2" ht="11.25" customHeight="1">
      <c r="A51" t="s">
        <v>3454</v>
      </c>
      <c r="B51" t="s">
        <v>3455</v>
      </c>
    </row>
    <row r="52" spans="1:2" ht="11.25" customHeight="1">
      <c r="A52" t="s">
        <v>3456</v>
      </c>
      <c r="B52" t="s">
        <v>3457</v>
      </c>
    </row>
    <row r="53" spans="1:2" ht="11.25" customHeight="1">
      <c r="A53" t="s">
        <v>3458</v>
      </c>
      <c r="B53" t="s">
        <v>3459</v>
      </c>
    </row>
    <row r="54" spans="1:2" ht="11.25" customHeight="1">
      <c r="A54" t="s">
        <v>3460</v>
      </c>
      <c r="B54" t="s">
        <v>3461</v>
      </c>
    </row>
    <row r="55" spans="1:2" ht="11.25" customHeight="1">
      <c r="A55" t="s">
        <v>3462</v>
      </c>
      <c r="B55" t="s">
        <v>3463</v>
      </c>
    </row>
    <row r="56" spans="1:2" ht="11.25" customHeight="1">
      <c r="A56" t="s">
        <v>3464</v>
      </c>
      <c r="B56" t="s">
        <v>3465</v>
      </c>
    </row>
    <row r="57" spans="1:2" ht="11.25" customHeight="1">
      <c r="A57" t="s">
        <v>3466</v>
      </c>
      <c r="B57" t="s">
        <v>3467</v>
      </c>
    </row>
    <row r="58" spans="1:2" ht="11.25" customHeight="1">
      <c r="A58" t="s">
        <v>3468</v>
      </c>
      <c r="B58" t="s">
        <v>3469</v>
      </c>
    </row>
    <row r="59" spans="1:2" ht="11.25" customHeight="1">
      <c r="A59" t="s">
        <v>3470</v>
      </c>
      <c r="B59" t="s">
        <v>3471</v>
      </c>
    </row>
    <row r="60" spans="1:2" ht="11.25" customHeight="1">
      <c r="A60" t="s">
        <v>3472</v>
      </c>
      <c r="B60" t="s">
        <v>3473</v>
      </c>
    </row>
    <row r="61" spans="1:2" ht="11.25" customHeight="1">
      <c r="B61" t="s">
        <v>3474</v>
      </c>
    </row>
    <row r="62" spans="1:2" ht="11.25" customHeight="1">
      <c r="B62" t="s">
        <v>3475</v>
      </c>
    </row>
    <row r="63" spans="1:2" ht="11.25" customHeight="1">
      <c r="B63" t="s">
        <v>3476</v>
      </c>
    </row>
    <row r="64" spans="1:2" ht="11.25" customHeight="1">
      <c r="B64" t="s">
        <v>3477</v>
      </c>
    </row>
    <row r="65" spans="2:2" ht="11.25" customHeight="1">
      <c r="B65" t="s">
        <v>3478</v>
      </c>
    </row>
    <row r="66" spans="2:2" ht="11.25" customHeight="1">
      <c r="B66" t="s">
        <v>3479</v>
      </c>
    </row>
    <row r="67" spans="2:2" ht="11.25" customHeight="1">
      <c r="B67" t="s">
        <v>3480</v>
      </c>
    </row>
    <row r="68" spans="2:2" ht="11.25" customHeight="1">
      <c r="B68" t="s">
        <v>3481</v>
      </c>
    </row>
    <row r="69" spans="2:2" ht="11.25" customHeight="1">
      <c r="B69" t="s">
        <v>3482</v>
      </c>
    </row>
    <row r="70" spans="2:2" ht="11.25" customHeight="1">
      <c r="B70" t="s">
        <v>3483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3322-3708-D543-C9C5-DCEF4284CCC5}">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4" t="s">
        <v>3484</v>
      </c>
    </row>
    <row r="2" spans="2:4" ht="90" customHeight="1">
      <c r="B2" s="25" t="s">
        <v>3485</v>
      </c>
    </row>
    <row r="3" spans="2:4" ht="67.5" customHeight="1">
      <c r="B3" s="25" t="s">
        <v>3486</v>
      </c>
    </row>
    <row r="4" spans="2:4" ht="33.75" customHeight="1">
      <c r="B4" s="25" t="s">
        <v>3487</v>
      </c>
    </row>
    <row r="5" spans="2:4" ht="11.25" customHeight="1">
      <c r="B5" s="25" t="s">
        <v>3488</v>
      </c>
    </row>
    <row r="6" spans="2:4" ht="22.5" customHeight="1">
      <c r="B6" s="25" t="s">
        <v>3489</v>
      </c>
    </row>
    <row r="7" spans="2:4" ht="22.5" customHeight="1">
      <c r="B7" s="25" t="s">
        <v>3490</v>
      </c>
    </row>
    <row r="8" spans="2:4" ht="22.5" customHeight="1">
      <c r="B8" s="25" t="s">
        <v>3491</v>
      </c>
    </row>
    <row r="9" spans="2:4" ht="22.5" customHeight="1">
      <c r="B9" s="25" t="s">
        <v>3492</v>
      </c>
    </row>
    <row r="10" spans="2:4" ht="56.25" customHeight="1">
      <c r="B10" s="25" t="s">
        <v>3493</v>
      </c>
    </row>
    <row r="11" spans="2:4" ht="12.75" customHeight="1">
      <c r="B11" s="69" t="s">
        <v>3494</v>
      </c>
    </row>
    <row r="12" spans="2:4" ht="11.25" customHeight="1">
      <c r="B12" s="24" t="s">
        <v>3495</v>
      </c>
    </row>
    <row r="13" spans="2:4" ht="22.5" customHeight="1">
      <c r="B13" s="25" t="s">
        <v>3496</v>
      </c>
    </row>
    <row r="14" spans="2:4" ht="67.5" customHeight="1">
      <c r="B14" s="25" t="s">
        <v>3497</v>
      </c>
    </row>
    <row r="15" spans="2:4" ht="22.5" customHeight="1">
      <c r="B15" s="25" t="s">
        <v>3498</v>
      </c>
    </row>
    <row r="16" spans="2:4" ht="11.25" customHeight="1">
      <c r="B16" s="24" t="s">
        <v>3499</v>
      </c>
      <c r="D16" s="31"/>
    </row>
    <row r="17" spans="2:2" ht="33.75" customHeight="1">
      <c r="B17" s="25" t="s">
        <v>3500</v>
      </c>
    </row>
    <row r="18" spans="2:2" ht="33.75" customHeight="1">
      <c r="B18" s="25" t="s">
        <v>3501</v>
      </c>
    </row>
    <row r="19" spans="2:2" ht="11.25" customHeight="1">
      <c r="B19" s="25" t="s">
        <v>3502</v>
      </c>
    </row>
    <row r="20" spans="2:2" ht="33.75" customHeight="1">
      <c r="B20" s="25" t="s">
        <v>3503</v>
      </c>
    </row>
    <row r="21" spans="2:2" ht="11.25" customHeight="1">
      <c r="B21" s="24" t="s">
        <v>3504</v>
      </c>
    </row>
    <row r="22" spans="2:2" ht="11.25" customHeight="1">
      <c r="B22" s="25" t="s">
        <v>3505</v>
      </c>
    </row>
    <row r="24" spans="2:2" ht="22.5" customHeight="1">
      <c r="B24" s="71" t="s">
        <v>3506</v>
      </c>
    </row>
    <row r="26" spans="2:2" ht="11.25" customHeight="1">
      <c r="B26" s="24" t="s">
        <v>3507</v>
      </c>
    </row>
    <row r="27" spans="2:2" ht="22.5" customHeight="1">
      <c r="B27" s="70" t="s">
        <v>470</v>
      </c>
    </row>
    <row r="28" spans="2:2" ht="56.25" customHeight="1">
      <c r="B28" s="70" t="s">
        <v>3508</v>
      </c>
    </row>
    <row r="29" spans="2:2" ht="11.25" customHeight="1">
      <c r="B29" s="112" t="s">
        <v>3509</v>
      </c>
    </row>
    <row r="30" spans="2:2" ht="22.5" customHeight="1">
      <c r="B30" s="70" t="s">
        <v>3510</v>
      </c>
    </row>
    <row r="32" spans="2:2" ht="11.25" customHeight="1">
      <c r="B32" s="95" t="s">
        <v>3511</v>
      </c>
    </row>
    <row r="33" spans="1:2" ht="14.25" customHeight="1">
      <c r="A33" s="96">
        <v>1</v>
      </c>
      <c r="B33" s="97" t="s">
        <v>3512</v>
      </c>
    </row>
    <row r="34" spans="1:2" ht="14.25" customHeight="1">
      <c r="A34" s="96">
        <v>2</v>
      </c>
      <c r="B34" s="97" t="s">
        <v>3513</v>
      </c>
    </row>
    <row r="35" spans="1:2" ht="11.25" customHeight="1">
      <c r="B35" s="95" t="s">
        <v>3514</v>
      </c>
    </row>
    <row r="36" spans="1:2" ht="11.25" customHeight="1">
      <c r="B36" s="97" t="s">
        <v>3515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1850</vt:i4>
      </vt:variant>
    </vt:vector>
  </HeadingPairs>
  <TitlesOfParts>
    <vt:vector size="193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B_FHD_diff_68</vt:lpstr>
      <vt:lpstr>B_FHD_diff_69</vt:lpstr>
      <vt:lpstr>B_FHD_diff_70</vt:lpstr>
      <vt:lpstr>B_FHD_FLAG_DIFFERENTIATION</vt:lpstr>
      <vt:lpstr>B_FHD_FLAG_INDEX_1</vt:lpstr>
      <vt:lpstr>B_FHD_FLAG_INDEX_2</vt:lpstr>
      <vt:lpstr>B_FHD_TKO_DATA_TOP80_ACTIVITY</vt:lpstr>
      <vt:lpstr>B_FHD_TKO_diff_1</vt:lpstr>
      <vt:lpstr>B_FHD_TKO_diff_66</vt:lpstr>
      <vt:lpstr>B_FHD_TKO_diff_67</vt:lpstr>
      <vt:lpstr>B_FHD_TKO_diff_68</vt:lpstr>
      <vt:lpstr>B_FHD_TKO_diff_69</vt:lpstr>
      <vt:lpstr>B_FHD_TKO_diff_70</vt:lpstr>
      <vt:lpstr>B_FHD_TKO_FLAG_DIFFERENTIATION</vt:lpstr>
      <vt:lpstr>B_FHD_TKO_TRANS_DATA_TOP80_ACTIVITY</vt:lpstr>
      <vt:lpstr>B_FHD_TKO_TRANS_diff_1</vt:lpstr>
      <vt:lpstr>B_FHD_TKO_TRANS_diff_66</vt:lpstr>
      <vt:lpstr>B_FHD_TKO_TRANS_diff_67</vt:lpstr>
      <vt:lpstr>B_FHD_TKO_TRANS_diff_68</vt:lpstr>
      <vt:lpstr>B_FHD_TKO_TRANS_diff_69</vt:lpstr>
      <vt:lpstr>B_FHD_TKO_TRANS_diff_70</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B_FHD20_diff_68</vt:lpstr>
      <vt:lpstr>B_FHD20_diff_69</vt:lpstr>
      <vt:lpstr>B_FHD20_diff_70</vt:lpstr>
      <vt:lpstr>B_FHD20_FLAG_FHD</vt:lpstr>
      <vt:lpstr>B_FHD20_NUMBER_COLUMN_MARKER</vt:lpstr>
      <vt:lpstr>B_FHD20_PART_COLUMN_MARKER</vt:lpstr>
      <vt:lpstr>B_KNE_diff_1</vt:lpstr>
      <vt:lpstr>B_KNE_diff_66</vt:lpstr>
      <vt:lpstr>B_KNE_diff_67</vt:lpstr>
      <vt:lpstr>B_KNE_diff_68</vt:lpstr>
      <vt:lpstr>B_KNE_diff_69</vt:lpstr>
      <vt:lpstr>B_KNE_diff_70</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Q_Limit_diff_68</vt:lpstr>
      <vt:lpstr>Q_Limit_diff_69</vt:lpstr>
      <vt:lpstr>Q_Limit_diff_70</vt:lpstr>
      <vt:lpstr>Q_LIMIT_p3</vt:lpstr>
      <vt:lpstr>Q_LIMIT_p4</vt:lpstr>
      <vt:lpstr>Q_PH_diff_1</vt:lpstr>
      <vt:lpstr>Q_PH_diff_66</vt:lpstr>
      <vt:lpstr>Q_PH_diff_67</vt:lpstr>
      <vt:lpstr>Q_PH_diff_68</vt:lpstr>
      <vt:lpstr>Q_PH_diff_69</vt:lpstr>
      <vt:lpstr>Q_PH_diff_70</vt:lpstr>
      <vt:lpstr>Q_TP_COUNT_REFUSAL</vt:lpstr>
      <vt:lpstr>Q_TP_diff_1</vt:lpstr>
      <vt:lpstr>Q_TP_diff_66</vt:lpstr>
      <vt:lpstr>Q_TP_diff_67</vt:lpstr>
      <vt:lpstr>Q_TP_diff_68</vt:lpstr>
      <vt:lpstr>Q_TP_diff_69</vt:lpstr>
      <vt:lpstr>Q_TP_diff_70</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Ведущий экономист ПЭО</cp:lastModifiedBy>
  <cp:lastPrinted>2013-08-29T08:11:20Z</cp:lastPrinted>
  <dcterms:created xsi:type="dcterms:W3CDTF">2004-05-21T07:18:45Z</dcterms:created>
  <dcterms:modified xsi:type="dcterms:W3CDTF">2023-11-29T04:44:12Z</dcterms:modified>
</cp:coreProperties>
</file>